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ww.bb-salut.ru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<sst xmlns="http://schemas.openxmlformats.org/spreadsheetml/2006/main" uniqueCount="1837">
  <si>
    <t>ID</t>
  </si>
  <si>
    <t>Наименование товара</t>
  </si>
  <si>
    <t>Видео</t>
  </si>
  <si>
    <t>Категория</t>
  </si>
  <si>
    <t>Артикул</t>
  </si>
  <si>
    <t>Торговая марка</t>
  </si>
  <si>
    <t>Цена</t>
  </si>
  <si>
    <t>Со скидкой</t>
  </si>
  <si>
    <t>Остатки</t>
  </si>
  <si>
    <t>Фасовка</t>
  </si>
  <si>
    <t>Ед.изм.</t>
  </si>
  <si>
    <t>ЗАКАЗ:</t>
  </si>
  <si>
    <t>Сумма:</t>
  </si>
  <si>
    <t>Интернет-магазин ББ-Салют</t>
  </si>
  <si>
    <t>Работаем с 2006 года  |  Более 20 брендов пиротехники и сопутствующих товаров  |  Высокие скидки</t>
  </si>
  <si>
    <t>Дата обновления прайс-листа: 16.12.2025</t>
  </si>
  <si>
    <t>Юридическое лицо:</t>
  </si>
  <si>
    <t>ИП Васькин Сергей Сергеевич, ИНН: 772665150123, р/с № 40802810500000218402 в ПАО ПРОМСВЯЗЬБАНК, БИК 044525555</t>
  </si>
  <si>
    <t>Контактная информация:</t>
  </si>
  <si>
    <t>ТЕЛЕФОНЫ:</t>
  </si>
  <si>
    <t>8 (800) 500-39-89, 8 (495) 150-39-89, 8 (495) 641-86-12</t>
  </si>
  <si>
    <t>e-mail: info@bb-salut.ru</t>
  </si>
  <si>
    <t>Интернет-магазин:</t>
  </si>
  <si>
    <t>www.bb-salut.ru</t>
  </si>
  <si>
    <t>Розничный магазин и шоу-рум:</t>
  </si>
  <si>
    <t>г.Москва, 2-я Карачаровская ул., д.1 стр.1</t>
  </si>
  <si>
    <t>схема проезда</t>
  </si>
  <si>
    <t>Впишите Ваш % скидки:</t>
  </si>
  <si>
    <t>Общая сумма заказа С УЧЕТОМ СКИДКИ:</t>
  </si>
  <si>
    <t>Батареи салютов</t>
  </si>
  <si>
    <t>№ 8360</t>
  </si>
  <si>
    <t>Фейерверк + фонтан Р6710 Шкипер (0,8" х 6)</t>
  </si>
  <si>
    <t>ВИДЕО</t>
  </si>
  <si>
    <t>Р6710</t>
  </si>
  <si>
    <t>Русский Фейерверк</t>
  </si>
  <si>
    <t>40/1</t>
  </si>
  <si>
    <t>штука</t>
  </si>
  <si>
    <t>№ 4610</t>
  </si>
  <si>
    <t>Фейерверк + фонтан Р6720 Салют-проказник (0,8" х 6)</t>
  </si>
  <si>
    <t>Р6720</t>
  </si>
  <si>
    <t>№ 8361</t>
  </si>
  <si>
    <t>Фейерверк + фонтан Р6736 Винни-Бух! (0,8" х 9)</t>
  </si>
  <si>
    <t>Р6736</t>
  </si>
  <si>
    <t>24/1</t>
  </si>
  <si>
    <t>№ 5447</t>
  </si>
  <si>
    <t>Фейерверк + фонтан Р6805 Огненный вихрь (1" х 22)</t>
  </si>
  <si>
    <t>Р6805</t>
  </si>
  <si>
    <t>8/1</t>
  </si>
  <si>
    <t>№ 8362</t>
  </si>
  <si>
    <t>Фейерверк Р7017 Шах и мат (0,6" х 32)</t>
  </si>
  <si>
    <t>Р7017</t>
  </si>
  <si>
    <t>18/1</t>
  </si>
  <si>
    <t>№ 5449</t>
  </si>
  <si>
    <t>Фейерверк Р7020 Малибу (0,7" х 20)</t>
  </si>
  <si>
    <t>Р7020</t>
  </si>
  <si>
    <t>№ 9706</t>
  </si>
  <si>
    <t>Фейерверк Р7022 Лайкни меня! (0,7" х 36)</t>
  </si>
  <si>
    <t>Р7022</t>
  </si>
  <si>
    <t>16/1</t>
  </si>
  <si>
    <t>№ 8363</t>
  </si>
  <si>
    <t>Фейерверк Р7026 Салют-бар (0,7" х 48)</t>
  </si>
  <si>
    <t>Р7026</t>
  </si>
  <si>
    <t>12/1</t>
  </si>
  <si>
    <t>№ 8366</t>
  </si>
  <si>
    <t>Фейерверк Р7033 Новогодиус (0,6" х 80)</t>
  </si>
  <si>
    <t>Р7033</t>
  </si>
  <si>
    <t>№ 10731</t>
  </si>
  <si>
    <t>Фейерверк Р7036 Бах-стори (0,6" х 104)</t>
  </si>
  <si>
    <t>Р7036</t>
  </si>
  <si>
    <t>6/1</t>
  </si>
  <si>
    <t>№ 8368</t>
  </si>
  <si>
    <t>Фейерверк Р7039 Плохие парни (0,7" х 100)</t>
  </si>
  <si>
    <t>Р7039</t>
  </si>
  <si>
    <t>№ 8695</t>
  </si>
  <si>
    <t>Фейерверк Р7046 Бумбокс (0,8" х 9)</t>
  </si>
  <si>
    <t>Р7046</t>
  </si>
  <si>
    <t>№ 8369</t>
  </si>
  <si>
    <t>Фейерверк Р7067 Стрекоза (0,8" х 16)</t>
  </si>
  <si>
    <t>Р7067</t>
  </si>
  <si>
    <t>№ 4589</t>
  </si>
  <si>
    <t>Фейерверк Р7212 Снеговой (0,8" х 10)</t>
  </si>
  <si>
    <t>Р7212</t>
  </si>
  <si>
    <t>№ 8370</t>
  </si>
  <si>
    <t>Фейерверк Р7216 Под шашлычок! (0,8" х 19)</t>
  </si>
  <si>
    <t>Р7216</t>
  </si>
  <si>
    <t>№ 11184</t>
  </si>
  <si>
    <t>Фейерверк Р7224 Щелкунчик (0,8" х 19)</t>
  </si>
  <si>
    <t>НОВИНКА! - Батареи салютов</t>
  </si>
  <si>
    <t>Р7224</t>
  </si>
  <si>
    <t>№ 4536</t>
  </si>
  <si>
    <t>Фейерверк Р7230 Ва-Банк! (0,8" х 19)</t>
  </si>
  <si>
    <t>Р7230</t>
  </si>
  <si>
    <t>№ 11186</t>
  </si>
  <si>
    <t>Фейерверк Р7250 Бамболео (0,8" х 25)</t>
  </si>
  <si>
    <t>Р7250</t>
  </si>
  <si>
    <t>№ 8371</t>
  </si>
  <si>
    <t>Фейерверк Р7281 Крендель (0,8" х 25)</t>
  </si>
  <si>
    <t>Р7281</t>
  </si>
  <si>
    <t>№ 8372</t>
  </si>
  <si>
    <t>Фейерверк Р7291 С ДР! (0,8" х 36)</t>
  </si>
  <si>
    <t>Р7291</t>
  </si>
  <si>
    <t>№ 10735</t>
  </si>
  <si>
    <t>Фейерверк Р7294 Крутые перцы (0,8" х 36)</t>
  </si>
  <si>
    <t>Р7294</t>
  </si>
  <si>
    <t>№ 5456</t>
  </si>
  <si>
    <t>Фейерверк Р7302 Жар-птица (0,8" х 25)</t>
  </si>
  <si>
    <t>Р7302</t>
  </si>
  <si>
    <t>№ 4537</t>
  </si>
  <si>
    <t>Фейерверк Р7314 Сомбреро (0,8" х 26)</t>
  </si>
  <si>
    <t>Р7314</t>
  </si>
  <si>
    <t>№ 8375</t>
  </si>
  <si>
    <t>Фейерверк Р7322 Поехали! (0,8" х 43)</t>
  </si>
  <si>
    <t>Р7322</t>
  </si>
  <si>
    <t>№ 11136</t>
  </si>
  <si>
    <t>Фейерверк Р7328 Теремок (0,8" х 49)</t>
  </si>
  <si>
    <t>Р7328</t>
  </si>
  <si>
    <t>№ 5458</t>
  </si>
  <si>
    <t>Фейерверк Р7333 Дари радость! (0,8" х 66)</t>
  </si>
  <si>
    <t>Р7333</t>
  </si>
  <si>
    <t>4/1</t>
  </si>
  <si>
    <t>№ 11210</t>
  </si>
  <si>
    <t>Фейерверк Р7337 Фруктовый микс (0,8" х 80)</t>
  </si>
  <si>
    <t>Р7337</t>
  </si>
  <si>
    <t>№ 11211</t>
  </si>
  <si>
    <t>Фейерверк Р7341 Яркий и жаркий (0,8" х 100)</t>
  </si>
  <si>
    <t>Р7341</t>
  </si>
  <si>
    <t>№ 11226</t>
  </si>
  <si>
    <t>Фейерверк Р7344 Танцуют все! (0,8" х 100)</t>
  </si>
  <si>
    <t>Р7344</t>
  </si>
  <si>
    <t>2/1</t>
  </si>
  <si>
    <t>№ 10424</t>
  </si>
  <si>
    <t>Фейерверк Р7351 Салат подождёт (0,8" х 100)</t>
  </si>
  <si>
    <t>Р7351</t>
  </si>
  <si>
    <t>№ 11188</t>
  </si>
  <si>
    <t>Фейерверк Р7355 Вместе веселее (0,8" х 100)</t>
  </si>
  <si>
    <t>Р7355</t>
  </si>
  <si>
    <t>№ 4602</t>
  </si>
  <si>
    <t>Фейерверк Р7362 Новый год шагает (0,8" х 150)</t>
  </si>
  <si>
    <t>Р7362</t>
  </si>
  <si>
    <t>1/1</t>
  </si>
  <si>
    <t>№ 8700</t>
  </si>
  <si>
    <t>Фейерверк Р7461 В Новый год! (1" х 16)</t>
  </si>
  <si>
    <t>Р7461</t>
  </si>
  <si>
    <t>№ 8061</t>
  </si>
  <si>
    <t>Фейерверк Р7491 Снежный барс (1" х 25)</t>
  </si>
  <si>
    <t>Р7491</t>
  </si>
  <si>
    <t>№ 4592</t>
  </si>
  <si>
    <t>Фейерверк Р7492 Снегурочка (1" х 25)</t>
  </si>
  <si>
    <t>Р7492</t>
  </si>
  <si>
    <t>№ 9714</t>
  </si>
  <si>
    <t>Фейерверк Р7498 Командир (1" х 36)</t>
  </si>
  <si>
    <t>Р7498</t>
  </si>
  <si>
    <t>№ 5461</t>
  </si>
  <si>
    <t>Фейерверк Р7500 Амигос (1" х 36)</t>
  </si>
  <si>
    <t>Р7500</t>
  </si>
  <si>
    <t>№ 10427</t>
  </si>
  <si>
    <t>Фейерверк Р7501 Треск и блеск (1" х 36)</t>
  </si>
  <si>
    <t>Р7501</t>
  </si>
  <si>
    <t>№ 10944</t>
  </si>
  <si>
    <t>Фейерверк Р7502 Виват-салют! (1" х 36)</t>
  </si>
  <si>
    <t>Р7502</t>
  </si>
  <si>
    <t>№ 11189</t>
  </si>
  <si>
    <t>Фейерверк Р7504 Мешок подарков (1" х 48)</t>
  </si>
  <si>
    <t>Р7504</t>
  </si>
  <si>
    <t>№ 4547</t>
  </si>
  <si>
    <t>Фейерверк Р7530 Искандер (1" х 64)</t>
  </si>
  <si>
    <t>Р7530</t>
  </si>
  <si>
    <t>№ 9718</t>
  </si>
  <si>
    <t>Фейерверк Р7540 Экспедиция (1" х 100)</t>
  </si>
  <si>
    <t>Р7540</t>
  </si>
  <si>
    <t>№ 4133</t>
  </si>
  <si>
    <t>Фейерверк Р7593 У Дачи! (1,25" х 19)</t>
  </si>
  <si>
    <t>Р7593</t>
  </si>
  <si>
    <t>№ 10430</t>
  </si>
  <si>
    <t>Фейерверк Р7598 Тик-так (1,25" х 20)</t>
  </si>
  <si>
    <t>Р7598</t>
  </si>
  <si>
    <t>№ 9724</t>
  </si>
  <si>
    <t>Фейерверк Р7740 С НГ! (1,25 х 25)</t>
  </si>
  <si>
    <t>Р7740</t>
  </si>
  <si>
    <t>№ 9722</t>
  </si>
  <si>
    <t>Фейерверк Р7830 Мороз-Воевода (1,25" х 36)</t>
  </si>
  <si>
    <t>Р7830</t>
  </si>
  <si>
    <t>№ 4863</t>
  </si>
  <si>
    <t>Фейерверк Р7950 Босс (1,25" х 50) - НОВЫЙ ЭФФЕКТ 2025/2026</t>
  </si>
  <si>
    <t>Р7950</t>
  </si>
  <si>
    <t>№ 10747</t>
  </si>
  <si>
    <t>Фейерверк Р8164 Супер - и точка! (0,8", 1", 1,25" х 54)</t>
  </si>
  <si>
    <t>Р8164</t>
  </si>
  <si>
    <t>№ 10947</t>
  </si>
  <si>
    <t>Фейерверк Р8278 Вот это вещь! (1", 1,25" х 70)</t>
  </si>
  <si>
    <t>Р8278</t>
  </si>
  <si>
    <t>№ 10948</t>
  </si>
  <si>
    <t>Фейерверк Р8294 Огни России (1", 1,9" х 118)</t>
  </si>
  <si>
    <t>Р8294</t>
  </si>
  <si>
    <t>№ 4179</t>
  </si>
  <si>
    <t>Фейерверк Р8452 Дерзкая роскошь (0,8", 1,25" х 190)</t>
  </si>
  <si>
    <t>Р8452</t>
  </si>
  <si>
    <t>№ 11224</t>
  </si>
  <si>
    <t>Фейерверк Р8477 Золотой резерв (1,25" х 100)</t>
  </si>
  <si>
    <t>Р8477</t>
  </si>
  <si>
    <t>№ 11192</t>
  </si>
  <si>
    <t>Фейерверк Р8479 Загадай желание (1,25" х 100)</t>
  </si>
  <si>
    <t>Р8479</t>
  </si>
  <si>
    <t>№ 3080</t>
  </si>
  <si>
    <t>Фейерверк Р8631 Сияние севера (1,5" х 100)</t>
  </si>
  <si>
    <t>Р8631</t>
  </si>
  <si>
    <t>№ 4864</t>
  </si>
  <si>
    <t>Фейерверк Р8641 Громовержец (2" х 51)</t>
  </si>
  <si>
    <t>Р8641</t>
  </si>
  <si>
    <t>№ 8647</t>
  </si>
  <si>
    <t>Фейерверк + фонтан РС2568 Космополитен (1" х 7)</t>
  </si>
  <si>
    <t>РС2568</t>
  </si>
  <si>
    <t>Русская Пиротехника</t>
  </si>
  <si>
    <t>№ 10912</t>
  </si>
  <si>
    <t>Комбинированный фейерверк РС2820 Операция "Новый год" (0,5", 1" х 850)</t>
  </si>
  <si>
    <t>РС2820</t>
  </si>
  <si>
    <t>№ 10913</t>
  </si>
  <si>
    <t>Фейерверк РС6012 Три кота (0,6" х 36)</t>
  </si>
  <si>
    <t>РС6012</t>
  </si>
  <si>
    <t>№ 10914</t>
  </si>
  <si>
    <t>Фейерверк РС6059 Подружки-хохотушки (0,6" х 88)</t>
  </si>
  <si>
    <t>РС6059</t>
  </si>
  <si>
    <t>№ 10916</t>
  </si>
  <si>
    <t>Фейерверк РС6075 Новогодняя вечеринка (0,6" х 168)</t>
  </si>
  <si>
    <t>РС6075</t>
  </si>
  <si>
    <t>№ 10917</t>
  </si>
  <si>
    <t>Фейерверк РС6120 Лесовичок (0,7" х 8)</t>
  </si>
  <si>
    <t>РС6120</t>
  </si>
  <si>
    <t>№ 7118</t>
  </si>
  <si>
    <t>Фейерверк РС6130 Чувачок (0,7" х 8)</t>
  </si>
  <si>
    <t>РС6130</t>
  </si>
  <si>
    <t>№ 7121</t>
  </si>
  <si>
    <t>Фейерверк РС6136 Пиро Квест (0,7" х 8)</t>
  </si>
  <si>
    <t>РС6136</t>
  </si>
  <si>
    <t>№ 7126</t>
  </si>
  <si>
    <t>Фейерверк РС6250 Веселый пиротехник (0,7" х 10)</t>
  </si>
  <si>
    <t>РС6250</t>
  </si>
  <si>
    <t>№ 9983</t>
  </si>
  <si>
    <t>Фейерверк РС6291 Мармелад (0,9" х 14)</t>
  </si>
  <si>
    <t>РС6291</t>
  </si>
  <si>
    <t>№ 2418</t>
  </si>
  <si>
    <t>Фейерверк РС6310 Ритм жизни (0,8" х 16)</t>
  </si>
  <si>
    <t>РС6310</t>
  </si>
  <si>
    <t>№ 2419</t>
  </si>
  <si>
    <t>Фейерверк РС6320 Фейерверк на районе (0,8" х 16)</t>
  </si>
  <si>
    <t>РС6320</t>
  </si>
  <si>
    <t>№ 7128</t>
  </si>
  <si>
    <t>Фейерверк РС6350 Подарок для елочки (0,8" х 18)</t>
  </si>
  <si>
    <t>РС6350</t>
  </si>
  <si>
    <t>№ 10706</t>
  </si>
  <si>
    <t>Фейерверк РС6365 Фифочка (0,8" х 19)</t>
  </si>
  <si>
    <t>РС6365</t>
  </si>
  <si>
    <t>№ 7129</t>
  </si>
  <si>
    <t>Фейерверк РС6371 Гуляй, студент! (0,8" х 19)</t>
  </si>
  <si>
    <t>РС6371</t>
  </si>
  <si>
    <t>№ 8309</t>
  </si>
  <si>
    <t>Фейерверк РС6380 Лиса Алиса (0,8" х 19)</t>
  </si>
  <si>
    <t>РС6380</t>
  </si>
  <si>
    <t>№ 4138</t>
  </si>
  <si>
    <t>Фейерверк РС6390 Снегири (0,8" х 25)</t>
  </si>
  <si>
    <t>РС6390</t>
  </si>
  <si>
    <t>№ 10716</t>
  </si>
  <si>
    <t>Фейерверк РС6402 Новогодний хоровод (0,8" х 25)</t>
  </si>
  <si>
    <t>РС6402</t>
  </si>
  <si>
    <t>9/1</t>
  </si>
  <si>
    <t>№ 11151</t>
  </si>
  <si>
    <t>Фейерверк РС6505/Girl С рождением, дорогая! (0,8" х 36)</t>
  </si>
  <si>
    <t>РС6505/Girl</t>
  </si>
  <si>
    <t>№ 3163</t>
  </si>
  <si>
    <t>Фейерверк РС6510 Озеро Рица (0,8" х 36)</t>
  </si>
  <si>
    <t>РС6510</t>
  </si>
  <si>
    <t>№ 8338</t>
  </si>
  <si>
    <t>Фейерверк РС6515 Бригантина (0,8" х 36)</t>
  </si>
  <si>
    <t>РС6515</t>
  </si>
  <si>
    <t>№ 8660</t>
  </si>
  <si>
    <t>Фейерверк РС6554 Все и сразу (0,8" х 49)</t>
  </si>
  <si>
    <t>РС6554</t>
  </si>
  <si>
    <t>№ 9597</t>
  </si>
  <si>
    <t>Фейерверк РС6581 Выше неба (0,8" х 49)</t>
  </si>
  <si>
    <t>РС6581</t>
  </si>
  <si>
    <t>№ 10709</t>
  </si>
  <si>
    <t>Фейерверк РС6591 Под шампусик (0,8" х 49)</t>
  </si>
  <si>
    <t>РС6591</t>
  </si>
  <si>
    <t>№ 10919</t>
  </si>
  <si>
    <t>Фейерверк РС6643 Тариф "Новогодний" (0,8" х 100)</t>
  </si>
  <si>
    <t>РС6643</t>
  </si>
  <si>
    <t>№ 8661</t>
  </si>
  <si>
    <t>Фейерверк РС6644 Сто пудов (0,8" х 100)</t>
  </si>
  <si>
    <t>РС6644</t>
  </si>
  <si>
    <t>№ 10710</t>
  </si>
  <si>
    <t>Фейерверк РС6651 Мандариновое настроение (0,8" х 100)</t>
  </si>
  <si>
    <t>РС6651</t>
  </si>
  <si>
    <t>№ 8664</t>
  </si>
  <si>
    <t>Фейерверк РС6680 Праздничный салют (0,8" х 127)</t>
  </si>
  <si>
    <t>РС6680</t>
  </si>
  <si>
    <t>№ 8666</t>
  </si>
  <si>
    <t>Фейерверк РС7062 Милашка (1,1" х 16)</t>
  </si>
  <si>
    <t>РС7062</t>
  </si>
  <si>
    <t>№ 10711</t>
  </si>
  <si>
    <t>Фейерверк РС7065 Лакомка (1,1" х 16)</t>
  </si>
  <si>
    <t>РС7065</t>
  </si>
  <si>
    <t>№ 8351</t>
  </si>
  <si>
    <t>Фейерверк РС7077 УПС (Ужасно Прикольный Салют)  (1,1" х 19)</t>
  </si>
  <si>
    <t>РС7077</t>
  </si>
  <si>
    <t>№ 2439</t>
  </si>
  <si>
    <t>Фейерверк РС7240 Жизнь удалась! (1,1" х 36)</t>
  </si>
  <si>
    <t>РС7240</t>
  </si>
  <si>
    <t>№ 10920</t>
  </si>
  <si>
    <t>Фейерверк РС7335 Елка желаний (1,1" х 48)</t>
  </si>
  <si>
    <t>РС7335</t>
  </si>
  <si>
    <t>№ 9986</t>
  </si>
  <si>
    <t>Фейерверк РС7400 СПС: Салют просто сказка! (1" х 58)</t>
  </si>
  <si>
    <t>РС7400</t>
  </si>
  <si>
    <t>№ 9987</t>
  </si>
  <si>
    <t>Фейерверк РС7405 СНГ: Салют НовоГодний (1" х 58)</t>
  </si>
  <si>
    <t>РС7405</t>
  </si>
  <si>
    <t>№ 9989</t>
  </si>
  <si>
    <t>Фейерверк РС7455 МЧС: Мощный чумовой салют (1" х 80)</t>
  </si>
  <si>
    <t>РС7455</t>
  </si>
  <si>
    <t>№ 2448</t>
  </si>
  <si>
    <t>Фейерверк РС7510 Сто в одном (1" х 100)</t>
  </si>
  <si>
    <t>РС7510</t>
  </si>
  <si>
    <t>№ 11179</t>
  </si>
  <si>
    <t>Фейерверк РС7585 Пусть будет щедрым Новый год! (1,1" х 99)</t>
  </si>
  <si>
    <t>РС7585</t>
  </si>
  <si>
    <t>№ 9605</t>
  </si>
  <si>
    <t>Фейерверк РС7972 Сказочная страна (1" х 300)</t>
  </si>
  <si>
    <t>РС7972</t>
  </si>
  <si>
    <t>№ 9606</t>
  </si>
  <si>
    <t>Фейерверк РС7974 Новый год к нам мчится (1" х 305)</t>
  </si>
  <si>
    <t>РС7974</t>
  </si>
  <si>
    <t>№ 9990</t>
  </si>
  <si>
    <t>Фейерверк РС8051 Опа! Анапа! (1,1" х 14)</t>
  </si>
  <si>
    <t>РС8051</t>
  </si>
  <si>
    <t>№ 9992</t>
  </si>
  <si>
    <t>Фейерверк РС8069 Русские гонки (1,25" х 12)</t>
  </si>
  <si>
    <t>РС8069</t>
  </si>
  <si>
    <t>№ 10720</t>
  </si>
  <si>
    <t>Фейерверк РС8071 Кремлёвские куранты (1,1" х 19)</t>
  </si>
  <si>
    <t>РС8071</t>
  </si>
  <si>
    <t>№ 8672</t>
  </si>
  <si>
    <t>Фейерверк РС8225 Лось (1,25" х 25)</t>
  </si>
  <si>
    <t>РС8225</t>
  </si>
  <si>
    <t>№ 2182</t>
  </si>
  <si>
    <t>Фейерверк РС8260 Россия, вперед! (1,2" х 36)</t>
  </si>
  <si>
    <t>РС8260</t>
  </si>
  <si>
    <t>№ 8348</t>
  </si>
  <si>
    <t>Фейерверк РС8299 Удачи в Новом году! (1,25" х 36)</t>
  </si>
  <si>
    <t>РС8299</t>
  </si>
  <si>
    <t>№ 2174</t>
  </si>
  <si>
    <t>Фейерверк РС8401 Малахитовая шкатулка (1,1" х 48)</t>
  </si>
  <si>
    <t>РС8401</t>
  </si>
  <si>
    <t>№ 9610</t>
  </si>
  <si>
    <t>Фейерверк РС8440 Салют по ГОСТу (1,25" х 48)</t>
  </si>
  <si>
    <t>РС8440</t>
  </si>
  <si>
    <t>№ 9612</t>
  </si>
  <si>
    <t>Фейерверк РС8452 Салют на юбилей (1,25" х 50)</t>
  </si>
  <si>
    <t>РС8452</t>
  </si>
  <si>
    <t>№ 3652</t>
  </si>
  <si>
    <t>Фейерверк РС8661 Пятый океан (1,1" х 100)</t>
  </si>
  <si>
    <t>РС8661</t>
  </si>
  <si>
    <t>№ 8675</t>
  </si>
  <si>
    <t>Фейерверк РС8880 Золотые пальмы (1,25" х 100)</t>
  </si>
  <si>
    <t>РС8880</t>
  </si>
  <si>
    <t>№ 9993</t>
  </si>
  <si>
    <t>Фейерверк РС8888 БомбиСТО (1,1" х 100)</t>
  </si>
  <si>
    <t>РС8888</t>
  </si>
  <si>
    <t>№ 9994</t>
  </si>
  <si>
    <t>Фейерверк РС8890 ФАНТАстика (1,25" х 100)</t>
  </si>
  <si>
    <t>РС8890</t>
  </si>
  <si>
    <t>№ 2480</t>
  </si>
  <si>
    <t>Фейерверк РС8970 СССР (Самый Стильный Салют России) (1,25" х 288)</t>
  </si>
  <si>
    <t>РС8970</t>
  </si>
  <si>
    <t>№ 7153</t>
  </si>
  <si>
    <t>Фейерверк РС9020 Допинг внутри (0,6", 0,8", 1" х 38)</t>
  </si>
  <si>
    <t>РС9020</t>
  </si>
  <si>
    <t>№ 8342</t>
  </si>
  <si>
    <t>Фейерверк РС9035 Подарок от друзей (0,8", 1", 1,2" х 56)</t>
  </si>
  <si>
    <t>РС9035</t>
  </si>
  <si>
    <t>№ 7156</t>
  </si>
  <si>
    <t>Фейерверк РС9070 Салют, достойный Президента! (1,2", 2" х 126)</t>
  </si>
  <si>
    <t>РС9070</t>
  </si>
  <si>
    <t>№ 11181</t>
  </si>
  <si>
    <t>Фейерверк РС9232 Явное преимущество (1", 1,2", 1,5" х 228)</t>
  </si>
  <si>
    <t>РС9232</t>
  </si>
  <si>
    <t>№ 11182</t>
  </si>
  <si>
    <t>Фейерверк РС9234 Русский мир (1", 1,2", 1,5" х 228)</t>
  </si>
  <si>
    <t>РС9234</t>
  </si>
  <si>
    <t>№ 8344</t>
  </si>
  <si>
    <t>Фейерверк РС9235 Служу отечеству (0,8", 1", 1,2" х 220)</t>
  </si>
  <si>
    <t>РС9235</t>
  </si>
  <si>
    <t>№ 9770</t>
  </si>
  <si>
    <t>Фейерверк РС9236 ВечерИночка (0,8", 1", 1,25", 1,5" х 222)</t>
  </si>
  <si>
    <t>РС9236</t>
  </si>
  <si>
    <t>№ 9588</t>
  </si>
  <si>
    <t>Фейерверк РС9237 Жизнь прекрасна! (0,8", 1", 1,2" х 274)</t>
  </si>
  <si>
    <t>РС9237</t>
  </si>
  <si>
    <t>№ 8679</t>
  </si>
  <si>
    <t>Фейерверк РС9245 Горжусь Россией! (1", 1,2", 1,5" х 308)</t>
  </si>
  <si>
    <t>РС9245</t>
  </si>
  <si>
    <t>№ 3707</t>
  </si>
  <si>
    <t>Фейерверк РС9250 Достояние республики (0,7", 1,2" х 378)</t>
  </si>
  <si>
    <t>РС9250</t>
  </si>
  <si>
    <t>№ 8680</t>
  </si>
  <si>
    <t>Фейерверк РС9500 Бородино (1,5" х 19)</t>
  </si>
  <si>
    <t>РС9500</t>
  </si>
  <si>
    <t>№ 8681</t>
  </si>
  <si>
    <t>Фейерверк РС9505 Полтава (1,5" х 25)</t>
  </si>
  <si>
    <t>РС9505</t>
  </si>
  <si>
    <t>3/1</t>
  </si>
  <si>
    <t>№ 7159</t>
  </si>
  <si>
    <t>Фейерверк РС9526 Удар по санкциям (1,5" х 88)</t>
  </si>
  <si>
    <t>РС9526</t>
  </si>
  <si>
    <t>№ 9998</t>
  </si>
  <si>
    <t>Фейерверк РС9527 КрупноГабаритный Салют (1,5" х 88)</t>
  </si>
  <si>
    <t>РС9527</t>
  </si>
  <si>
    <t>№ 3065</t>
  </si>
  <si>
    <t>Фейерверк РС9670 Для крутой компании (2" х 72)</t>
  </si>
  <si>
    <t>РС9670</t>
  </si>
  <si>
    <t>№ 8684</t>
  </si>
  <si>
    <t>Фейерверк РС9740 Петр Великий (2,75" х 25)</t>
  </si>
  <si>
    <t>РС9740</t>
  </si>
  <si>
    <t>№ 10696</t>
  </si>
  <si>
    <t>Фейерверк РС9760 ZOV Отважных (3" х 9)</t>
  </si>
  <si>
    <t>РС9760</t>
  </si>
  <si>
    <t>№ 4577</t>
  </si>
  <si>
    <t>Фейерверк ЕС268 Новогод (0,8" х 25)</t>
  </si>
  <si>
    <t>ЕС268</t>
  </si>
  <si>
    <t>ФейерЛэнд</t>
  </si>
  <si>
    <t>№ 8710</t>
  </si>
  <si>
    <t>Фейерверк ЕС276 PRO-Праздник (0,8" х 36)</t>
  </si>
  <si>
    <t>ЕС276</t>
  </si>
  <si>
    <t>№ 10925</t>
  </si>
  <si>
    <t>Фейерверк ЕС279 "Мальчик или Девочка" (девочка) - для Гендер Пати (Gender Party) (0,8" х 36)</t>
  </si>
  <si>
    <t>ЕС279</t>
  </si>
  <si>
    <t>№ 5476</t>
  </si>
  <si>
    <t>Фейерверк ЕС350 Роял де Люкс (0,8" х 100)</t>
  </si>
  <si>
    <t>ЕС350</t>
  </si>
  <si>
    <t>№ 8392</t>
  </si>
  <si>
    <t>Фейерверк ЕС422 Снежики (1" х 16)</t>
  </si>
  <si>
    <t>ЕС422</t>
  </si>
  <si>
    <t>№ 8711</t>
  </si>
  <si>
    <t>Фейерверк ЕС450 Crazy Санта (1" х 20)</t>
  </si>
  <si>
    <t>ЕС450</t>
  </si>
  <si>
    <t>№ 8712</t>
  </si>
  <si>
    <t>Фейерверк ЕС464 Королева танцпола (1" х 25)</t>
  </si>
  <si>
    <t>ЕС464</t>
  </si>
  <si>
    <t>№ 4573</t>
  </si>
  <si>
    <t>Фейерверк ЕС476 Гуляем! (1" х 36)</t>
  </si>
  <si>
    <t>ЕС476</t>
  </si>
  <si>
    <t>№ 4576</t>
  </si>
  <si>
    <t>Фейерверк ЕС551 Крутой (1" х 100)</t>
  </si>
  <si>
    <t>ЕС551</t>
  </si>
  <si>
    <t>№ 10433</t>
  </si>
  <si>
    <t>Фейерверк ЕС553 Салют да любовь (1" х 100)</t>
  </si>
  <si>
    <t>ЕС553</t>
  </si>
  <si>
    <t>№ 4583</t>
  </si>
  <si>
    <t>Фейерверк ЕС728 Пятница (1,25" х 61)</t>
  </si>
  <si>
    <t>ЕС728</t>
  </si>
  <si>
    <t>№ 4586</t>
  </si>
  <si>
    <t>Фейерверк ЕС768 Стольник (1,25" х 100)</t>
  </si>
  <si>
    <t>ЕС768</t>
  </si>
  <si>
    <t>№ 9933</t>
  </si>
  <si>
    <t>Фейерверк ОС6015 Сафари / Safari (0,6" х 36)</t>
  </si>
  <si>
    <t>ОС6015</t>
  </si>
  <si>
    <t>Огненный Цветок</t>
  </si>
  <si>
    <t>№ 9935</t>
  </si>
  <si>
    <t>Фейерверк ОС6030 Панда / Panda (0,6" х 100)</t>
  </si>
  <si>
    <t>ОС6030</t>
  </si>
  <si>
    <t>№ 8624</t>
  </si>
  <si>
    <t>Фейерверк ОС6220 Аниме (0,8" х 16)</t>
  </si>
  <si>
    <t>ОС6220</t>
  </si>
  <si>
    <t>№ 8625</t>
  </si>
  <si>
    <t>Фейерверк ОС6221 Оригами (0,8" х 16)</t>
  </si>
  <si>
    <t>ОС6221</t>
  </si>
  <si>
    <t>№ 10697</t>
  </si>
  <si>
    <t>Фейерверк ОС6245 Зимние Альпы (0,8" х 19)</t>
  </si>
  <si>
    <t>ОС6245</t>
  </si>
  <si>
    <t>№ 9589</t>
  </si>
  <si>
    <t>Фейерверк ОС6251 Подсолнухи (0,8" х 19)</t>
  </si>
  <si>
    <t>ОС6251</t>
  </si>
  <si>
    <t>№ 9590</t>
  </si>
  <si>
    <t>Фейерверк ОС6255 Веснушки (0,8" х 19)</t>
  </si>
  <si>
    <t>ОС6255</t>
  </si>
  <si>
    <t>№ 9938</t>
  </si>
  <si>
    <t>Фейерверк ОС6275 Моцарт / Mozart (0,9" х 20)</t>
  </si>
  <si>
    <t>ОС6275</t>
  </si>
  <si>
    <t>№ 8270</t>
  </si>
  <si>
    <t>Фейерверк ОС6320 Феникс (0,8" х 25)</t>
  </si>
  <si>
    <t>ОС6320</t>
  </si>
  <si>
    <t>№ 9592</t>
  </si>
  <si>
    <t>Фейерверк ОС6341 Финт ушами (0,8" х 25)</t>
  </si>
  <si>
    <t>ОС6341</t>
  </si>
  <si>
    <t>№ 9939</t>
  </si>
  <si>
    <t>Фейерверк ОС6411 Боливар / Bolivar (0,8" х 36)</t>
  </si>
  <si>
    <t>ОС6411</t>
  </si>
  <si>
    <t>№ 9940</t>
  </si>
  <si>
    <t>Фейерверк ОС6413 Прага / Praha (0,8" х 36)</t>
  </si>
  <si>
    <t>ОС6413</t>
  </si>
  <si>
    <t>№ 9616</t>
  </si>
  <si>
    <t>Фейерверк ОС6422 Цветущая сакура (0,8" х 36)</t>
  </si>
  <si>
    <t>ОС6422</t>
  </si>
  <si>
    <t>№ 8627</t>
  </si>
  <si>
    <t>Фейерверк ОС6430 Вишенка на торте (0,8" х 49)</t>
  </si>
  <si>
    <t>ОС6430</t>
  </si>
  <si>
    <t>№ 9942</t>
  </si>
  <si>
    <t>Фейерверк ОС6490 Ковбой / Cowboy (0,8" х 48)</t>
  </si>
  <si>
    <t>ОС6490</t>
  </si>
  <si>
    <t>№ 9943</t>
  </si>
  <si>
    <t>Фейерверк ОС6910 Танго / Tango (0,8" х 100)</t>
  </si>
  <si>
    <t>ОС6910</t>
  </si>
  <si>
    <t>№ 10719</t>
  </si>
  <si>
    <t>Фейерверк ОС7150 Полярное сияние (1" х 12)</t>
  </si>
  <si>
    <t>ОС7150</t>
  </si>
  <si>
    <t>№ 8629</t>
  </si>
  <si>
    <t>Фейерверк ОС7222 Чайна-Таун (1,1" х 16)</t>
  </si>
  <si>
    <t>ОС7222</t>
  </si>
  <si>
    <t>№ 10699</t>
  </si>
  <si>
    <t>Фейерверк ОС7260 Счастье есть! (1,1" х 19)</t>
  </si>
  <si>
    <t>ОС7260</t>
  </si>
  <si>
    <t>№ 10798</t>
  </si>
  <si>
    <t>Фейерверк ОС7265 Дедморозовка (1,1" х 19)</t>
  </si>
  <si>
    <t>ОС7265</t>
  </si>
  <si>
    <t>№ 10900</t>
  </si>
  <si>
    <t>Фейерверк ОС7334 Счастье улыбнулось! (1,1" х 25)</t>
  </si>
  <si>
    <t>ОС7334</t>
  </si>
  <si>
    <t>№ 8274</t>
  </si>
  <si>
    <t>Фейерверк ОС7545 Для реальных пацанов (1" х 48)</t>
  </si>
  <si>
    <t>ОС7545</t>
  </si>
  <si>
    <t>№ 9601</t>
  </si>
  <si>
    <t>Фейерверк ОС7549 Заряд позитива (0,8" х 49)</t>
  </si>
  <si>
    <t>ОС7549</t>
  </si>
  <si>
    <t>№ 8631</t>
  </si>
  <si>
    <t>Фейерверк ОС7551/ОС7552 Новогодняя штучка (0,8" х 49)</t>
  </si>
  <si>
    <t>ОС7551/ОС7552</t>
  </si>
  <si>
    <t>№ 9599</t>
  </si>
  <si>
    <t>Фейерверк ОС7850 Бахчисарай (1" х 80)</t>
  </si>
  <si>
    <t>ОС7850</t>
  </si>
  <si>
    <t>№ 9600</t>
  </si>
  <si>
    <t>Фейерверк ОС7870 За сбычу мечт (1" х 99)</t>
  </si>
  <si>
    <t>ОС7870</t>
  </si>
  <si>
    <t>№ 8632</t>
  </si>
  <si>
    <t>Фейерверк ОС7901 Центурион (1,1" х 99)</t>
  </si>
  <si>
    <t>ОС7901</t>
  </si>
  <si>
    <t>№ 8276</t>
  </si>
  <si>
    <t>Фейерверк ОС8226 Сочельник (1,1" х 19)</t>
  </si>
  <si>
    <t>ОС8226</t>
  </si>
  <si>
    <t>№ 9948</t>
  </si>
  <si>
    <t>Фейерверк ОС8250 Чили / Chili (1,1" х 19)</t>
  </si>
  <si>
    <t>ОС8250</t>
  </si>
  <si>
    <t>№ 8278</t>
  </si>
  <si>
    <t>Фейерверк ОС8441 Калейдоскоп огней (1,1" х 36)</t>
  </si>
  <si>
    <t>ОС8441</t>
  </si>
  <si>
    <t>№ 9954</t>
  </si>
  <si>
    <t>Фейерверк ОС8880 Анталия / Antalya (1,1" х 100)</t>
  </si>
  <si>
    <t>ОС8880</t>
  </si>
  <si>
    <t>№ 5480</t>
  </si>
  <si>
    <t>Фейерверк VH080-07-01 Роза ветров / Windrose (0,8" х 7)</t>
  </si>
  <si>
    <t>VH080-07-01</t>
  </si>
  <si>
    <t>De Vliegende Hollander</t>
  </si>
  <si>
    <t>32/1</t>
  </si>
  <si>
    <t>№ 8804</t>
  </si>
  <si>
    <t>Фейерверк VH080-08-01 Залп / Schot (0,8" х 8)</t>
  </si>
  <si>
    <t>VH080-08-01</t>
  </si>
  <si>
    <t>№ 4518</t>
  </si>
  <si>
    <t>Фейерверк VH080-09-01 Тюльпаны / Tulpen (0,8" х 9)</t>
  </si>
  <si>
    <t>VH080-09-01</t>
  </si>
  <si>
    <t>№ 4524</t>
  </si>
  <si>
    <t>Фейерверк VH080-100-02 Оранжевый генерал / Oranje General (0,8" х 100)</t>
  </si>
  <si>
    <t>VH080-100-02</t>
  </si>
  <si>
    <t>№ 4906</t>
  </si>
  <si>
    <t>Фейерверк VH080-10-01 Аякс / Ajax (0,8" х 10)</t>
  </si>
  <si>
    <t>VH080-10-01</t>
  </si>
  <si>
    <t>№ 4519</t>
  </si>
  <si>
    <t>Фейерверк VH080-16-01 Якорь / Anker (0,8" х 16)</t>
  </si>
  <si>
    <t>VH080-16-01</t>
  </si>
  <si>
    <t>№ 4992</t>
  </si>
  <si>
    <t>Фейерверк VH080-19-01 Попутный ветер / Voor de wind (0,8" х 19)</t>
  </si>
  <si>
    <t>VH080-19-01</t>
  </si>
  <si>
    <t>№ 4520</t>
  </si>
  <si>
    <t>Фейерверк VH080-25-01 Штурвал / Stuurwiel (0,8" х 25)</t>
  </si>
  <si>
    <t>VH080-25-01</t>
  </si>
  <si>
    <t>№ 4964</t>
  </si>
  <si>
    <t>Фейерверк VH080-25-02 Гульден / Gulden (0,8" х 25)</t>
  </si>
  <si>
    <t>VH080-25-02</t>
  </si>
  <si>
    <t>№ 6256</t>
  </si>
  <si>
    <t>Фейерверк VH080-300-01 Кракен / Kraken (0,8" х 300)</t>
  </si>
  <si>
    <t>VH080-300-01</t>
  </si>
  <si>
    <t>№ 4521</t>
  </si>
  <si>
    <t>Фейерверк VH080-30-01 Город Утрехт / Utrecht (0,8" х 30)</t>
  </si>
  <si>
    <t>VH080-30-01</t>
  </si>
  <si>
    <t>№ 4455</t>
  </si>
  <si>
    <t>Фейерверк VH080-36-01 Серебряные коньки / Silver Skates (0,8" х 36)</t>
  </si>
  <si>
    <t>VH080-36-01</t>
  </si>
  <si>
    <t>№ 4523</t>
  </si>
  <si>
    <t>Фейерверк VH080-64-01 Остров Формоза / Eiland Formosa (0,8" х 64)</t>
  </si>
  <si>
    <t>VH080-64-01</t>
  </si>
  <si>
    <t>№ 4909</t>
  </si>
  <si>
    <t>Фейерверк VH100-09-01 Розарий / Rosarium (1" х 9)</t>
  </si>
  <si>
    <t>VH100-09-01</t>
  </si>
  <si>
    <t>№ 8806</t>
  </si>
  <si>
    <t>Фейерверк VH100-10-01 Акула / Haai (1" х 10)</t>
  </si>
  <si>
    <t>VH100-10-01</t>
  </si>
  <si>
    <t>№ 4634</t>
  </si>
  <si>
    <t>Фейерверк VH100-12-01 Корвет / Korvet (1" х 12)</t>
  </si>
  <si>
    <t>VH100-12-01</t>
  </si>
  <si>
    <t>№ 4635</t>
  </si>
  <si>
    <t>Фейерверк VH100-19-01 Рембрандт / Rembrandt (1" х 19)</t>
  </si>
  <si>
    <t>VH100-19-01</t>
  </si>
  <si>
    <t>№ 4963</t>
  </si>
  <si>
    <t>Фейерверк VH100-20-01 Компас / Kompas (1" х 20)</t>
  </si>
  <si>
    <t>VH100-20-01</t>
  </si>
  <si>
    <t>№ 6257</t>
  </si>
  <si>
    <t>Фейерверк VH100-25-01 Глобус / Globe (1" х 25)</t>
  </si>
  <si>
    <t>VH100-25-01</t>
  </si>
  <si>
    <t>№ 4636</t>
  </si>
  <si>
    <t>Фейерверк VH100-25-02 Флотилия / Flottieljezeilen (1" х 25)</t>
  </si>
  <si>
    <t>VH100-25-02</t>
  </si>
  <si>
    <t>№ 4637</t>
  </si>
  <si>
    <t>Фейерверк VH100-36-01 Ратуша / Stadhius (1" х 36)</t>
  </si>
  <si>
    <t>VH100-36-01</t>
  </si>
  <si>
    <t>№ 10153</t>
  </si>
  <si>
    <t>Фейерверк VH100-66-01 Наутилус / Nautilus (1" х 66)</t>
  </si>
  <si>
    <t>VH100-66-01</t>
  </si>
  <si>
    <t>№ 4640</t>
  </si>
  <si>
    <t>Фейерверк VH100-96-01 Амстердам / Amsterdam (1" х 96)</t>
  </si>
  <si>
    <t>VH100-96-01</t>
  </si>
  <si>
    <t>№ 4527</t>
  </si>
  <si>
    <t>Фейерверк VH120-19-01 Ветряная мельница / Windmolen (1,25" х 19)</t>
  </si>
  <si>
    <t>VH120-19-01</t>
  </si>
  <si>
    <t>№ 4999</t>
  </si>
  <si>
    <t>Фейерверк VH-FAN-02 Кюрасао / Curacao (0,8" х 49)</t>
  </si>
  <si>
    <t>VH-FAN-02</t>
  </si>
  <si>
    <t>№ 4528</t>
  </si>
  <si>
    <t>Фейерверк VH-FAN-04 Тасмания / Tasmanie (1" х 25)</t>
  </si>
  <si>
    <t>VH-FAN-04</t>
  </si>
  <si>
    <t>№ 8746</t>
  </si>
  <si>
    <t>Фейерверк + фонтан GW218-89 Балет / BALET (0,8" х 11)</t>
  </si>
  <si>
    <t>GW218-89</t>
  </si>
  <si>
    <t>Maxsem</t>
  </si>
  <si>
    <t>96/1</t>
  </si>
  <si>
    <t>№ 9134</t>
  </si>
  <si>
    <t>Фейерверк GW218-93 Красочный мир / Colorful World (0,8" х 12)</t>
  </si>
  <si>
    <t>GW218-93</t>
  </si>
  <si>
    <t>36/1</t>
  </si>
  <si>
    <t>№ 4730</t>
  </si>
  <si>
    <t>Фейерверк GP485 Калейдоскоп / Kaleidoscope (0,8" х 20)</t>
  </si>
  <si>
    <t>GP485</t>
  </si>
  <si>
    <t>№ 4732</t>
  </si>
  <si>
    <t>Фейерверк GP498/2 София / Sofia (0,8" х 25)</t>
  </si>
  <si>
    <t>GP498/2</t>
  </si>
  <si>
    <t>№ 8758</t>
  </si>
  <si>
    <t>Фейерверк SB-19-01 Огненная гюрза (1,2" х 19)</t>
  </si>
  <si>
    <t>SB-19-01</t>
  </si>
  <si>
    <t>№ 10324</t>
  </si>
  <si>
    <t>Фейерверк K1130C12 Катюша-100 / SATURN MISSILE BATTERY (0,2" х 100)</t>
  </si>
  <si>
    <t>K1130C12</t>
  </si>
  <si>
    <t>30/1</t>
  </si>
  <si>
    <t>№ 10771</t>
  </si>
  <si>
    <t>Набор фейерверков K1130C7 Катюша-25 / SATURN MISSILE BATTERY (0,2" х 25)</t>
  </si>
  <si>
    <t>K1130C7</t>
  </si>
  <si>
    <t>60/2</t>
  </si>
  <si>
    <t>упаковка</t>
  </si>
  <si>
    <t>№ 4739</t>
  </si>
  <si>
    <t>Фейерверк M1042 Сладкий сон / Sweet dream (1" х 16)</t>
  </si>
  <si>
    <t>M1042</t>
  </si>
  <si>
    <t>№ 4734</t>
  </si>
  <si>
    <t>Фейерверк МС114 Добрый молодец (0,8" х 100)</t>
  </si>
  <si>
    <t>MC114</t>
  </si>
  <si>
    <t>№ 4761</t>
  </si>
  <si>
    <t>Фейерверк MC119 Happy Year (1", 1,2" х 60)</t>
  </si>
  <si>
    <t>MC119</t>
  </si>
  <si>
    <t>№ 9159</t>
  </si>
  <si>
    <t>Фейерверк MC120 Party Time (0,8", 1", 1,2" х 68)</t>
  </si>
  <si>
    <t>MC120</t>
  </si>
  <si>
    <t>№ 4762</t>
  </si>
  <si>
    <t>Фейерверк MC121 Night Fest (0,8", 1", 1,2" х 75)</t>
  </si>
  <si>
    <t>MC121</t>
  </si>
  <si>
    <t>№ 9160</t>
  </si>
  <si>
    <t>Фейерверк MC125 Afterparty (0,8", 1", 1,2" х 88)</t>
  </si>
  <si>
    <t>MC125</t>
  </si>
  <si>
    <t>№ 9142</t>
  </si>
  <si>
    <t>Фейерверк MC141 Радостная картина / Moving Painter (0,8" х 120)</t>
  </si>
  <si>
    <t>MC141</t>
  </si>
  <si>
    <t>№ 11156</t>
  </si>
  <si>
    <t>Фейерверк PKU3201 Смугляночка (0,8", 1" х 55)</t>
  </si>
  <si>
    <t>PKU3201</t>
  </si>
  <si>
    <t>Пиро-Каскад</t>
  </si>
  <si>
    <t>№ 8155</t>
  </si>
  <si>
    <t>Фейерверк PKU350 Семицветик (0,8" х 7)</t>
  </si>
  <si>
    <t>PKU350</t>
  </si>
  <si>
    <t>48/1</t>
  </si>
  <si>
    <t>№ 9361</t>
  </si>
  <si>
    <t>Фейерверк + фонтан JF K1836 Балет (0,4" х 10)</t>
  </si>
  <si>
    <t>JF K1836</t>
  </si>
  <si>
    <t>Joker Fireworks</t>
  </si>
  <si>
    <t>№ 11175</t>
  </si>
  <si>
    <t>Фейерверк JF MC25-100/01 Новогодний залп (1" х 100)</t>
  </si>
  <si>
    <t>JF MC25-100/01</t>
  </si>
  <si>
    <t>№ 10014</t>
  </si>
  <si>
    <t>Фейерверк JF MCP-100 Драже (0,3" х 100)</t>
  </si>
  <si>
    <t>JF MCP-100</t>
  </si>
  <si>
    <t>№ 10009</t>
  </si>
  <si>
    <t>Фейерверк JF MCP-25 Зефирка (0,3" х 25)</t>
  </si>
  <si>
    <t>JF MCP-25</t>
  </si>
  <si>
    <t>80/1</t>
  </si>
  <si>
    <t>№ 10012</t>
  </si>
  <si>
    <t>Фейерверк JF MCP-50 Леденец (0,32" х 50)</t>
  </si>
  <si>
    <t>JF MCP-50</t>
  </si>
  <si>
    <t>№ 9388</t>
  </si>
  <si>
    <t>Фейерверк JF CV15/20/23-78 Мулен Руж ВЕЕР (0,6", 0,8", 0,9" х 78)</t>
  </si>
  <si>
    <t>JF CV15/20/23-78</t>
  </si>
  <si>
    <t>№ 9325</t>
  </si>
  <si>
    <t>Фейерверк СС7242 Бум Бастик (0,8" х 36)</t>
  </si>
  <si>
    <t>СС7242</t>
  </si>
  <si>
    <t>Супер-Салют</t>
  </si>
  <si>
    <t>№ 4274</t>
  </si>
  <si>
    <t>Фейерверк СС7270 Бурлеск (0,8" х 75)</t>
  </si>
  <si>
    <t>СС7270</t>
  </si>
  <si>
    <t>№ 6211</t>
  </si>
  <si>
    <t>Фейерверк СС7283 Дед весельчак (0,8" х 100)</t>
  </si>
  <si>
    <t>СС7283</t>
  </si>
  <si>
    <t>№ 11215</t>
  </si>
  <si>
    <t>Фейерверк СС7285 Красавица зима (0,8" х 100)</t>
  </si>
  <si>
    <t>СС7285</t>
  </si>
  <si>
    <t>№ 5315</t>
  </si>
  <si>
    <t>Фейерверк СС7295 Миллениум (0,8" х 200)</t>
  </si>
  <si>
    <t>СС7295</t>
  </si>
  <si>
    <t>№ 11216</t>
  </si>
  <si>
    <t>Фейерверк СС7582 Морозные узоры (1,1" х 36)</t>
  </si>
  <si>
    <t>СС7582</t>
  </si>
  <si>
    <t>№ 11217</t>
  </si>
  <si>
    <t>Фейерверк СС7734 Дари радость (1,1" х 28)</t>
  </si>
  <si>
    <t>СС7734</t>
  </si>
  <si>
    <t>№ 11218</t>
  </si>
  <si>
    <t>Фейерверк СС7735 Елочка красавица (1,1" х 28)</t>
  </si>
  <si>
    <t>СС7735</t>
  </si>
  <si>
    <t>№ 8515</t>
  </si>
  <si>
    <t>Фейерверк СС7747 Шарики для елочки (1,1" х 28)</t>
  </si>
  <si>
    <t>СС7747</t>
  </si>
  <si>
    <t>№ 5329</t>
  </si>
  <si>
    <t>Фейерверк СС8105 Салют года (1" х 120)</t>
  </si>
  <si>
    <t>СС8105</t>
  </si>
  <si>
    <t>№ 3706</t>
  </si>
  <si>
    <t>Фейерверк СС8853 Зуброкотавр (1" х 145)</t>
  </si>
  <si>
    <t>СС8853</t>
  </si>
  <si>
    <t>№ 8988</t>
  </si>
  <si>
    <t>Фейерверк РК7681 Алкоголичка (1,25" х 61)</t>
  </si>
  <si>
    <t>РК7681</t>
  </si>
  <si>
    <t>Русский Салют</t>
  </si>
  <si>
    <t>№ 5225</t>
  </si>
  <si>
    <t>Фейерверк РК9040 Гаврила (2" х 28)</t>
  </si>
  <si>
    <t>РК9040</t>
  </si>
  <si>
    <t>Дневные батареи</t>
  </si>
  <si>
    <t>№ 4811</t>
  </si>
  <si>
    <t>Дневной фейерверк РС3560 Дым веером (1,4" х 25)</t>
  </si>
  <si>
    <t>РС3560</t>
  </si>
  <si>
    <t>№ 10278</t>
  </si>
  <si>
    <t>Дневной фейерверк JF DMC30-20/02-R Краски дня (красный дым) (1,2" х 20)</t>
  </si>
  <si>
    <t>JF DMC30-20/02-R</t>
  </si>
  <si>
    <t>№ 10279</t>
  </si>
  <si>
    <t>Дневной фейерверк JF DMC30-20/02-W Краски дня (белый дым) (1,2" х 20)</t>
  </si>
  <si>
    <t>JF DMC30-20/02-W</t>
  </si>
  <si>
    <t>№ 10277</t>
  </si>
  <si>
    <t>Дневной фейерверк JF DMC30-20/02-B Краски дня (синий дым) (1,2" х 20)</t>
  </si>
  <si>
    <t>JF DMC30-20/02-B</t>
  </si>
  <si>
    <t>Петарды</t>
  </si>
  <si>
    <t>№ 1398</t>
  </si>
  <si>
    <t>Петарды Р1030 Хлопающие шары</t>
  </si>
  <si>
    <t>Р1030</t>
  </si>
  <si>
    <t>16/12/6</t>
  </si>
  <si>
    <t>блок</t>
  </si>
  <si>
    <t>№ 9693</t>
  </si>
  <si>
    <t>Петарды Р1032 Вспыш</t>
  </si>
  <si>
    <t>Р1032</t>
  </si>
  <si>
    <t>18/18/6</t>
  </si>
  <si>
    <t>№ 11194</t>
  </si>
  <si>
    <t>Петарды Р1042 Туши свет</t>
  </si>
  <si>
    <t>НОВИНКА! - Петарды</t>
  </si>
  <si>
    <t>Р1042</t>
  </si>
  <si>
    <t>100/6</t>
  </si>
  <si>
    <t>№ 11195</t>
  </si>
  <si>
    <t>Петарды Р1062 Без башни (пулеметная лента)</t>
  </si>
  <si>
    <t>Р1062</t>
  </si>
  <si>
    <t>150/10</t>
  </si>
  <si>
    <t>№ 11225</t>
  </si>
  <si>
    <t>Петарды Р1083 Бульдог / Корсар-8</t>
  </si>
  <si>
    <t>Р1083</t>
  </si>
  <si>
    <t>108/4</t>
  </si>
  <si>
    <t>№ 11229</t>
  </si>
  <si>
    <t>Петарды Р1088 Алабай / Корсар-10</t>
  </si>
  <si>
    <t>Р1088</t>
  </si>
  <si>
    <t>80/3</t>
  </si>
  <si>
    <t>№ 11138</t>
  </si>
  <si>
    <t>Петарды Р1095 Волкодав / Корсар-16</t>
  </si>
  <si>
    <t>Р1095</t>
  </si>
  <si>
    <t>40/3</t>
  </si>
  <si>
    <t>№ 9901</t>
  </si>
  <si>
    <t>Петарды Р1096 К-16 / Корсар-16</t>
  </si>
  <si>
    <t>Р1096</t>
  </si>
  <si>
    <t>32/4</t>
  </si>
  <si>
    <t>№ 1382</t>
  </si>
  <si>
    <t>Петарды Р1106 К-1 / Корсар-1</t>
  </si>
  <si>
    <t>Р1106</t>
  </si>
  <si>
    <t>20/12/60</t>
  </si>
  <si>
    <t>№ 1383</t>
  </si>
  <si>
    <t>Петарды Р1202 К-2 / Корсар-2</t>
  </si>
  <si>
    <t>Р1202</t>
  </si>
  <si>
    <t>25/15/20</t>
  </si>
  <si>
    <t>№ 1384</t>
  </si>
  <si>
    <t>Петарды Р1301 К-3 / Корсар-3</t>
  </si>
  <si>
    <t>Р1301</t>
  </si>
  <si>
    <t>50/10/10</t>
  </si>
  <si>
    <t>№ 9695</t>
  </si>
  <si>
    <t>Петарды Р1320 Бам-бух / Корсар-3 два баха</t>
  </si>
  <si>
    <t>Р1320</t>
  </si>
  <si>
    <t>52/20/6</t>
  </si>
  <si>
    <t>№ 1385</t>
  </si>
  <si>
    <t>Петарды Р1400 К-4 / Корсар-4</t>
  </si>
  <si>
    <t>Р1400</t>
  </si>
  <si>
    <t>16/12/12</t>
  </si>
  <si>
    <t>№ 10419</t>
  </si>
  <si>
    <t>Петарды Р1601 К-6 / Корсар-6</t>
  </si>
  <si>
    <t>Р1601</t>
  </si>
  <si>
    <t>№ 5571</t>
  </si>
  <si>
    <t>Петарды РС0121 Команда корсара Моргана / Корсар-1</t>
  </si>
  <si>
    <t>РС0121</t>
  </si>
  <si>
    <t>№ 5383</t>
  </si>
  <si>
    <t>Петарды РС0222 Команда корсара Моргана 2 / Корсар-2</t>
  </si>
  <si>
    <t>РС0222</t>
  </si>
  <si>
    <t>36/10/20</t>
  </si>
  <si>
    <t>№ 5384</t>
  </si>
  <si>
    <t>Петарды РС0323 Команда корсара Моргана 3 / Корсар-3</t>
  </si>
  <si>
    <t>РС0323</t>
  </si>
  <si>
    <t>№ 9586</t>
  </si>
  <si>
    <t>Петарды РС0525 Команда корсара Моргана 5ф / Корсар-5 фитильный</t>
  </si>
  <si>
    <t>РС0525</t>
  </si>
  <si>
    <t>120/12</t>
  </si>
  <si>
    <t>№ 9587</t>
  </si>
  <si>
    <t>Петарды РС0625 Команда корсара Моргана 6ф / Корсар-6 фитильный</t>
  </si>
  <si>
    <t>РС0625</t>
  </si>
  <si>
    <t>60/12</t>
  </si>
  <si>
    <t>№ 10471</t>
  </si>
  <si>
    <t>Петарды РС0720 Команда корсара Моргана 7ф / Корсар-7 фитильный</t>
  </si>
  <si>
    <t>РС0720</t>
  </si>
  <si>
    <t>100/5</t>
  </si>
  <si>
    <t>№ 10472</t>
  </si>
  <si>
    <t>Петарды РС0820 Команда корсара Моргана 8ф / Корсар-8 фитильный</t>
  </si>
  <si>
    <t>РС0820</t>
  </si>
  <si>
    <t>№ 10473</t>
  </si>
  <si>
    <t>Петарды РС0920 Команда корсара Моргана 9ф / Корсар-9 фитильный</t>
  </si>
  <si>
    <t>РС0920</t>
  </si>
  <si>
    <t>№ 3625</t>
  </si>
  <si>
    <t>Петарды РС1135 Талисман</t>
  </si>
  <si>
    <t>РС1135</t>
  </si>
  <si>
    <t>100/20</t>
  </si>
  <si>
    <t>№ 10804</t>
  </si>
  <si>
    <t>Петарды РС1235 Пулеметная лента-500</t>
  </si>
  <si>
    <t>РС1235</t>
  </si>
  <si>
    <t>№ 8319</t>
  </si>
  <si>
    <t>Петарды РС1300 Гремучий горох / Чеснок</t>
  </si>
  <si>
    <t>РС1300</t>
  </si>
  <si>
    <t>6/50/50</t>
  </si>
  <si>
    <t>№ 5552</t>
  </si>
  <si>
    <t>Петарды K0201 Corsar (Super warrior) / Корсар-1</t>
  </si>
  <si>
    <t>K0201</t>
  </si>
  <si>
    <t>24/10/60</t>
  </si>
  <si>
    <t>№ 4788</t>
  </si>
  <si>
    <t>Петарды K0203/2 Little Pirat / Корсар-3 двойной хлопок</t>
  </si>
  <si>
    <t>K0203/2</t>
  </si>
  <si>
    <t>100/50</t>
  </si>
  <si>
    <t>№ 5589</t>
  </si>
  <si>
    <t>Петарды K0203/3 Corsar / Корсар-3 три хлопка</t>
  </si>
  <si>
    <t>K0203/3</t>
  </si>
  <si>
    <t>№ 5580</t>
  </si>
  <si>
    <t>Петарды K0204 Pirate / Пират</t>
  </si>
  <si>
    <t>K0204</t>
  </si>
  <si>
    <t>8/24/12</t>
  </si>
  <si>
    <t>№ 4321</t>
  </si>
  <si>
    <t>Петарды P1004 Strzelajace Diabelki (Дебилки) / Чеснок</t>
  </si>
  <si>
    <t>P1004</t>
  </si>
  <si>
    <t>№ 5151</t>
  </si>
  <si>
    <t>Петарды P1004L Big Snaper / Крупный чеснок</t>
  </si>
  <si>
    <t>P1004L</t>
  </si>
  <si>
    <t>4/20/50</t>
  </si>
  <si>
    <t>№ 9013</t>
  </si>
  <si>
    <t>Петарды P20 Взрывчатка / Explosive</t>
  </si>
  <si>
    <t>P20</t>
  </si>
  <si>
    <t>4/24/20</t>
  </si>
  <si>
    <t>№ 9891</t>
  </si>
  <si>
    <t>Петарды P750 Мега Пиратка / Mega Piratka (бывшая P2000)</t>
  </si>
  <si>
    <t>P750</t>
  </si>
  <si>
    <t>№ 11227</t>
  </si>
  <si>
    <t>Петарды PM081 Flint / Корсар-6</t>
  </si>
  <si>
    <t>PM081</t>
  </si>
  <si>
    <t>72/4</t>
  </si>
  <si>
    <t>№ 11228</t>
  </si>
  <si>
    <t>Петарды PM082 Madame Ching  / Корсар-6</t>
  </si>
  <si>
    <t>PM082</t>
  </si>
  <si>
    <t>48/16</t>
  </si>
  <si>
    <t>№ 10767</t>
  </si>
  <si>
    <t>Петарды PM095  Yo-ho-ho / Корсар-12</t>
  </si>
  <si>
    <t>PM095</t>
  </si>
  <si>
    <t>60/4/1</t>
  </si>
  <si>
    <t>№ 11157</t>
  </si>
  <si>
    <t>Петарды PKZ0600 Жгут</t>
  </si>
  <si>
    <t>PKZ0600</t>
  </si>
  <si>
    <t>10/48/36</t>
  </si>
  <si>
    <t>№ 4716</t>
  </si>
  <si>
    <t>Петарды JF 0004 Граната / Лимонка с фитилем</t>
  </si>
  <si>
    <t>JF 0004</t>
  </si>
  <si>
    <t>№ 11177</t>
  </si>
  <si>
    <t>Петарды JF 0077 Оп! Хлоп!</t>
  </si>
  <si>
    <t>JF 0077</t>
  </si>
  <si>
    <t>6/24/20</t>
  </si>
  <si>
    <t>№ 4719</t>
  </si>
  <si>
    <t>Петарды JFS9 Бомба (треугольник)</t>
  </si>
  <si>
    <t>JF S9</t>
  </si>
  <si>
    <t>№ 4996</t>
  </si>
  <si>
    <t>Петарды JF К0201 Черная дробь / Корсар-1</t>
  </si>
  <si>
    <t>JF K0201</t>
  </si>
  <si>
    <t>№ 11163</t>
  </si>
  <si>
    <t>Петарды JF P01-STR Пульсар</t>
  </si>
  <si>
    <t>JF P01-STR</t>
  </si>
  <si>
    <t>24/18/6</t>
  </si>
  <si>
    <t>№ 11164</t>
  </si>
  <si>
    <t>Петарды JF P02-SC Конфетка</t>
  </si>
  <si>
    <t>JF P02-SC</t>
  </si>
  <si>
    <t>30/20</t>
  </si>
  <si>
    <t>№ 11165</t>
  </si>
  <si>
    <t>Петарды JF P04-bpla Герань</t>
  </si>
  <si>
    <t>JF P04-bpla</t>
  </si>
  <si>
    <t>№ 4723</t>
  </si>
  <si>
    <t>Петарды JF Р2000 Мега Пиратка / Mega Piratka</t>
  </si>
  <si>
    <t>JF P2000</t>
  </si>
  <si>
    <t>Цветной дым и огонь</t>
  </si>
  <si>
    <t>№ 11196</t>
  </si>
  <si>
    <t>Факел дымовой Р1766 Сюрприз (синий дым) - для Гендер Пати (Gender Party)</t>
  </si>
  <si>
    <t>НОВИНКА! - Цветной дым и огонь</t>
  </si>
  <si>
    <t>Р1766</t>
  </si>
  <si>
    <t>50/1</t>
  </si>
  <si>
    <t>№ 11197</t>
  </si>
  <si>
    <t>Факел дымовой Р1768 Сюрприз (красный дым) - для Гендер Пати (Gender Party)</t>
  </si>
  <si>
    <t>Р1768</t>
  </si>
  <si>
    <t>№ 4466</t>
  </si>
  <si>
    <t>Факел сигнальный красный (огонь и дым), корпус пластик/металл MF-0220R</t>
  </si>
  <si>
    <t>MF-0220R</t>
  </si>
  <si>
    <t>24/4/1</t>
  </si>
  <si>
    <t>№ 6076</t>
  </si>
  <si>
    <t>Факел пиротехнический (фальшфейер, фаер) красного огня MF-0260R / HAND FLARE (100 сек.)</t>
  </si>
  <si>
    <t>MF-0260R</t>
  </si>
  <si>
    <t>10/5/1</t>
  </si>
  <si>
    <t>№ 8740</t>
  </si>
  <si>
    <t>Факел пиротехнический (фальшфейер, фаер) синего огня MF-0260B / HAND FLARE (100 сек.)</t>
  </si>
  <si>
    <t>MF-0260B</t>
  </si>
  <si>
    <t>№ 6274</t>
  </si>
  <si>
    <t>Дымовой фонтан - цветной дым зеленый MA0509/G (Maxsem)</t>
  </si>
  <si>
    <t>MA0509/G</t>
  </si>
  <si>
    <t>30/5/1</t>
  </si>
  <si>
    <t>№ 6273</t>
  </si>
  <si>
    <t>Дымовой фонтан - цветной дым красный MA0509/R (Maxsem)</t>
  </si>
  <si>
    <t>MA0509/R</t>
  </si>
  <si>
    <t>№ 8317</t>
  </si>
  <si>
    <t>Дымовой фонтан - цветной дым белый MA0509/W (Maxsem)</t>
  </si>
  <si>
    <t>MA0509/W</t>
  </si>
  <si>
    <t>№ 6277</t>
  </si>
  <si>
    <t>Дымовой фонтан - цветной дым желтый MA0509/Y (Maxsem)</t>
  </si>
  <si>
    <t>MA0509/Y</t>
  </si>
  <si>
    <t>№ 6275</t>
  </si>
  <si>
    <t>Дымовой фонтан - цветной дым синий MA0509/B (Maxsem)</t>
  </si>
  <si>
    <t>MA0509/B</t>
  </si>
  <si>
    <t>№ 9791</t>
  </si>
  <si>
    <t>Дымовой фонтан - цветной дым бордовый MA0509/BR (Maxsem)</t>
  </si>
  <si>
    <t>MA0509/BR</t>
  </si>
  <si>
    <t>№ 8996</t>
  </si>
  <si>
    <t>Дымовой фонтан - цветной дым черный MA0509/BK (Maxsem)</t>
  </si>
  <si>
    <t>MA0509/BK</t>
  </si>
  <si>
    <t>№ 10773</t>
  </si>
  <si>
    <t>Дымовой фонтан - набор цветного дыма синий, зеленый, оранжевый, красный, желтый MA0509//MIX (Maxsem)</t>
  </si>
  <si>
    <t>MA0509/MIX</t>
  </si>
  <si>
    <t>30/5</t>
  </si>
  <si>
    <t>№ 6276</t>
  </si>
  <si>
    <t>Дымовой фонтан - цветной дым оранжевый MA0509/O (Maxsem)</t>
  </si>
  <si>
    <t>MA0509/O</t>
  </si>
  <si>
    <t>№ 8259</t>
  </si>
  <si>
    <t>Дымовой фонтан - цветной дым фиолетовый MA0509/P (Maxsem)</t>
  </si>
  <si>
    <t>MA0509/P</t>
  </si>
  <si>
    <t>№ 10141</t>
  </si>
  <si>
    <t>Цветной дым зеленый MA0511/G SMOKING FOUNTAIN (60 сек.)</t>
  </si>
  <si>
    <t>MA0511/G</t>
  </si>
  <si>
    <t>40/5/1</t>
  </si>
  <si>
    <t>№ 10138</t>
  </si>
  <si>
    <t>Цветной дым красный MA0511/R SMOKING FOUNTAIN (60 сек.)</t>
  </si>
  <si>
    <t>MA0511/R</t>
  </si>
  <si>
    <t>№ 10146</t>
  </si>
  <si>
    <t>Цветной дым малиновый MA0511/RS SMOKING FOUNTAIN (60 сек.)</t>
  </si>
  <si>
    <t>MA0511/RS</t>
  </si>
  <si>
    <t>№ 10144</t>
  </si>
  <si>
    <t>Цветной дым белый MA0511/W SMOKING FOUNTAIN (60 сек.)</t>
  </si>
  <si>
    <t>MA0511/W</t>
  </si>
  <si>
    <t>№ 10140</t>
  </si>
  <si>
    <t>Цветной дым желтый MA0511/Y SMOKING FOUNTAIN (60 сек.)</t>
  </si>
  <si>
    <t>MA0511/Y</t>
  </si>
  <si>
    <t>№ 10139</t>
  </si>
  <si>
    <t>Цветной дым синий MA0511/B SMOKING FOUNTAIN (60 сек.)</t>
  </si>
  <si>
    <t>MA0511/B</t>
  </si>
  <si>
    <t>№ 10147</t>
  </si>
  <si>
    <t>Цветной дым голубой MA0511/BS SMOKING FOUNTAIN (60 сек.)</t>
  </si>
  <si>
    <t>MA0511/BS</t>
  </si>
  <si>
    <t>№ 10145</t>
  </si>
  <si>
    <t>Цветной дым черный MA0511/BK SMOKING FOUNTAIN (60 сек.)</t>
  </si>
  <si>
    <t>MA0511/BK</t>
  </si>
  <si>
    <t>№ 10142</t>
  </si>
  <si>
    <t>Цветной дым оранжевый MA0511/O SMOKING FOUNTAIN (60 сек.)</t>
  </si>
  <si>
    <t>MA0511/O</t>
  </si>
  <si>
    <t>№ 10143</t>
  </si>
  <si>
    <t>Цветной дым фиолетовый MA0511/P SMOKING FOUNTAIN (60 сек.)</t>
  </si>
  <si>
    <t>MA0511/P</t>
  </si>
  <si>
    <t>№ 10665</t>
  </si>
  <si>
    <t>Цветной дым с чекой зеленый JF DM30/super_G (Joker Fireworks)</t>
  </si>
  <si>
    <t>JF DM30/super_G</t>
  </si>
  <si>
    <t>20/10/1</t>
  </si>
  <si>
    <t>№ 10669</t>
  </si>
  <si>
    <t>Цветной дым с чекой красный JF DM30/super_R (Joker Fireworks)</t>
  </si>
  <si>
    <t>JF DM30/super_R</t>
  </si>
  <si>
    <t>№ 10664</t>
  </si>
  <si>
    <t>Цветной дым с чекой желтый JF DM30/super_Y (Joker Fireworks)</t>
  </si>
  <si>
    <t>JF DM30/super_Y</t>
  </si>
  <si>
    <t>№ 10670</t>
  </si>
  <si>
    <t>Цветной дым с чекой голубой JF DM30/super_B (Joker Fireworks)</t>
  </si>
  <si>
    <t>JF DM30/super_B</t>
  </si>
  <si>
    <t>№ 10668</t>
  </si>
  <si>
    <t>Цветной дым с чекой фиолетовый JF DM30/super_P (Joker Fireworks)</t>
  </si>
  <si>
    <t>JF DM30/super_P</t>
  </si>
  <si>
    <t>№ 10667</t>
  </si>
  <si>
    <t>Цветной дым с чекой розовый JF DM30/super_PK (Joker Fireworks)</t>
  </si>
  <si>
    <t>JF DM30/super_PK</t>
  </si>
  <si>
    <t>№ 10586</t>
  </si>
  <si>
    <t>Шашка дымовая с фитилем розовая "Узнай Кто?" для Гендер Пати (Gender Party) - определение пола ребенка</t>
  </si>
  <si>
    <t>JF DM60G/R</t>
  </si>
  <si>
    <t>24/7/1</t>
  </si>
  <si>
    <t>№ 10587</t>
  </si>
  <si>
    <t>Шашка дымовая с фитилем голубая "Узнай Кто?" для Гендер Пати (Gender Party) - определение пола ребенка</t>
  </si>
  <si>
    <t>JF DM60G/B</t>
  </si>
  <si>
    <t>№ 10595</t>
  </si>
  <si>
    <t>Цветной дым с чекой зеленый JF DM90/super_G (Joker Fireworks)</t>
  </si>
  <si>
    <t>JF DM90/super_G</t>
  </si>
  <si>
    <t>2/50/1</t>
  </si>
  <si>
    <t>№ 10594</t>
  </si>
  <si>
    <t>Цветной дым с чекой желтый JF DM90/super_Y (Joker Fireworks)</t>
  </si>
  <si>
    <t>JF DM90/super_Y</t>
  </si>
  <si>
    <t>№ 10598</t>
  </si>
  <si>
    <t>Цветной дым с чекой фиолетовый JF DM90/super_P (Joker Fireworks)</t>
  </si>
  <si>
    <t>JF DM90/super_P</t>
  </si>
  <si>
    <t>№ 10597</t>
  </si>
  <si>
    <t>Цветной дым с чекой розовый JF DM90/super_PK (Joker Fireworks)</t>
  </si>
  <si>
    <t>JF DM90/super_PK</t>
  </si>
  <si>
    <t>Летающие и наземные фейерверки</t>
  </si>
  <si>
    <t>№ 1454</t>
  </si>
  <si>
    <t>Летающий фейерверк Р3020 Мотылек</t>
  </si>
  <si>
    <t>Р3020</t>
  </si>
  <si>
    <t>16/10/12</t>
  </si>
  <si>
    <t>№ 2702</t>
  </si>
  <si>
    <t>Летающий фейерверк Р3100 Солнечный цветок</t>
  </si>
  <si>
    <t>Р3100</t>
  </si>
  <si>
    <t>36/6</t>
  </si>
  <si>
    <t>№ 1457</t>
  </si>
  <si>
    <t>Летающий фейерверк Р3110 Лунный цветок</t>
  </si>
  <si>
    <t>Р3110</t>
  </si>
  <si>
    <t>120/6</t>
  </si>
  <si>
    <t>№ 10927</t>
  </si>
  <si>
    <t>Наземный фейерверк Р3512 Вжик</t>
  </si>
  <si>
    <t>Р3512</t>
  </si>
  <si>
    <t>20/12/12</t>
  </si>
  <si>
    <t>№ 2086</t>
  </si>
  <si>
    <t>Наземный фейерверк Р3520 Веселый жук</t>
  </si>
  <si>
    <t>Р3520</t>
  </si>
  <si>
    <t>20/12/6</t>
  </si>
  <si>
    <t>№ 2085</t>
  </si>
  <si>
    <t>Наземный фейерверк Р3530 Мега жук</t>
  </si>
  <si>
    <t>Р3530</t>
  </si>
  <si>
    <t>№ 8320</t>
  </si>
  <si>
    <t>Наземный фейерверк РС1360 Жук</t>
  </si>
  <si>
    <t>РС1360</t>
  </si>
  <si>
    <t>№ 8321</t>
  </si>
  <si>
    <t>Наземный фейерверк РС1362 Улетный жук</t>
  </si>
  <si>
    <t>РС1362</t>
  </si>
  <si>
    <t>№ 10805</t>
  </si>
  <si>
    <t>Наземный фейерверк РС1370 Торнадо</t>
  </si>
  <si>
    <t>РС1370</t>
  </si>
  <si>
    <t>60/1</t>
  </si>
  <si>
    <t>№ 10809</t>
  </si>
  <si>
    <t>Наземный фейерверк РС1386 Космолет</t>
  </si>
  <si>
    <t>РС1386</t>
  </si>
  <si>
    <t>№ 3626</t>
  </si>
  <si>
    <t>Летающий фейерверк РС1400 Дикие пчелы</t>
  </si>
  <si>
    <t>РС1400</t>
  </si>
  <si>
    <t>240/12</t>
  </si>
  <si>
    <t>№ 3627</t>
  </si>
  <si>
    <t>Летающий фейерверк РС1420 Волшебный мотылек</t>
  </si>
  <si>
    <t>РС1420</t>
  </si>
  <si>
    <t>№ 3793</t>
  </si>
  <si>
    <t>Летающий фейерверк РС1440 Майский жук</t>
  </si>
  <si>
    <t>РС1440</t>
  </si>
  <si>
    <t>№ 9974</t>
  </si>
  <si>
    <t>Летающий фейерверк РС1450 Стрекоза</t>
  </si>
  <si>
    <t>РС1450</t>
  </si>
  <si>
    <t>48/2</t>
  </si>
  <si>
    <t>№ 11166</t>
  </si>
  <si>
    <t>Наземный фейерверк JF FN03-SDM Эмодзи</t>
  </si>
  <si>
    <t>НОВИНКА! - Летающие и наземные фейерверки</t>
  </si>
  <si>
    <t>JF FN03-SDM</t>
  </si>
  <si>
    <t>6/12/4</t>
  </si>
  <si>
    <t>Римские свечи</t>
  </si>
  <si>
    <t>№ 1572</t>
  </si>
  <si>
    <t>Римские свечи Р5080 Римская свеча-30 (0,3" х 30)</t>
  </si>
  <si>
    <t>Р5080</t>
  </si>
  <si>
    <t>36/12/1</t>
  </si>
  <si>
    <t>№ 5567</t>
  </si>
  <si>
    <t>Римские свечи Р5300 Вьюга (0,5" х 8)</t>
  </si>
  <si>
    <t>Р5300</t>
  </si>
  <si>
    <t>36/4/1</t>
  </si>
  <si>
    <t>№ 5445</t>
  </si>
  <si>
    <t>Римские свечи Р5320 Егоза (0,4" х 10)</t>
  </si>
  <si>
    <t>Р5320</t>
  </si>
  <si>
    <t>№ 4626</t>
  </si>
  <si>
    <t>Римские свечи Р5510 Пантера (0,8" х 5)</t>
  </si>
  <si>
    <t>Р5510</t>
  </si>
  <si>
    <t>20/4/1</t>
  </si>
  <si>
    <t>№ 4625</t>
  </si>
  <si>
    <t>Римские свечи Р5512 Гепард (0,8" х 5)</t>
  </si>
  <si>
    <t>Р5512</t>
  </si>
  <si>
    <t>№ 8689</t>
  </si>
  <si>
    <t>Римские свечи Р5518 Бабахыч (0,8" х 5)</t>
  </si>
  <si>
    <t>Р5518</t>
  </si>
  <si>
    <t>№ 11206</t>
  </si>
  <si>
    <t>Римские свечи Р5530 Дайкири (0,8" х 8)</t>
  </si>
  <si>
    <t>НОВИНКА! - Римские свечи</t>
  </si>
  <si>
    <t>Р5530</t>
  </si>
  <si>
    <t>24/2/1</t>
  </si>
  <si>
    <t>№ 4623</t>
  </si>
  <si>
    <t>Римские свечи Р5540 Фантастика (0,8" х 8)</t>
  </si>
  <si>
    <t>Р5540</t>
  </si>
  <si>
    <t>№ 2197</t>
  </si>
  <si>
    <t>Римские свечи Р5542 Ламбада (0,8" х 8)</t>
  </si>
  <si>
    <t>Р5542</t>
  </si>
  <si>
    <t>№ 9705</t>
  </si>
  <si>
    <t>Римские свечи Р5546 Карабас (0,8" х 8)</t>
  </si>
  <si>
    <t>Р5546</t>
  </si>
  <si>
    <t>№ 10936</t>
  </si>
  <si>
    <t>Римские свечи Р5548 Апероль (0,8" х 8)</t>
  </si>
  <si>
    <t>Р5548</t>
  </si>
  <si>
    <t>№ 8692</t>
  </si>
  <si>
    <t>Римские свечи Р5607 Шарики-фонарики (1" х 8)</t>
  </si>
  <si>
    <t>Р5607</t>
  </si>
  <si>
    <t>№ 8693</t>
  </si>
  <si>
    <t>Римские свечи Р5609 Марракеш (1" х 8)</t>
  </si>
  <si>
    <t>Р5609</t>
  </si>
  <si>
    <t>№ 10937</t>
  </si>
  <si>
    <t>Римские свечи Р5724 Пина-колада (1,25" х 8)</t>
  </si>
  <si>
    <t>Р5724</t>
  </si>
  <si>
    <t>12/2/1</t>
  </si>
  <si>
    <t>№ 4617</t>
  </si>
  <si>
    <t>Римские свечи Р5726 Хризантема (1,25" х 8)</t>
  </si>
  <si>
    <t>Р5726</t>
  </si>
  <si>
    <t>№ 4616</t>
  </si>
  <si>
    <t>Римские свечи Р5800 Альтаир (1,5" х 8)</t>
  </si>
  <si>
    <t>Р5800</t>
  </si>
  <si>
    <t>№ 4615</t>
  </si>
  <si>
    <t>Римские свечи Р5900 Сказочная феерия (2" х 8)</t>
  </si>
  <si>
    <t>Р5900</t>
  </si>
  <si>
    <t>№ 8359</t>
  </si>
  <si>
    <t>Римские свечи (связка) Р5940 Базука (0,8" х 24)</t>
  </si>
  <si>
    <t>Р5940</t>
  </si>
  <si>
    <t>20/1</t>
  </si>
  <si>
    <t>№ 5446</t>
  </si>
  <si>
    <t>Римские свечи (связка) Р5950 Зенитка (0,8" х 30)</t>
  </si>
  <si>
    <t>Р5950</t>
  </si>
  <si>
    <t>№ 3014</t>
  </si>
  <si>
    <t>Римские свечи РС5010 Снежинки (0,6" х 8)</t>
  </si>
  <si>
    <t>РС5010</t>
  </si>
  <si>
    <t>42/4/1</t>
  </si>
  <si>
    <t>№ 3015</t>
  </si>
  <si>
    <t>Римские свечи РС5020 Смайлики (0,6" х 8)</t>
  </si>
  <si>
    <t>РС5020</t>
  </si>
  <si>
    <t>№ 10826</t>
  </si>
  <si>
    <t>Римские свечи РС5030 Звездопад (0,6" х 7)</t>
  </si>
  <si>
    <t>РС5030</t>
  </si>
  <si>
    <t>№ 7097</t>
  </si>
  <si>
    <t>Римские свечи РС5232 Иван-чай (0,8" х 5)</t>
  </si>
  <si>
    <t>РС5232</t>
  </si>
  <si>
    <t>№ 2504</t>
  </si>
  <si>
    <t>Римские свечи РС5240 Дамский каприз (0,8" х 5)</t>
  </si>
  <si>
    <t>РС5240</t>
  </si>
  <si>
    <t>36/2/1</t>
  </si>
  <si>
    <t>№ 2499</t>
  </si>
  <si>
    <t>Римские свечи РС5242 Болеро (0,8" х 5)</t>
  </si>
  <si>
    <t>РС5242</t>
  </si>
  <si>
    <t>№ 8308</t>
  </si>
  <si>
    <t>Римские свечи РС5243 Ассоль (0,8" х 5)</t>
  </si>
  <si>
    <t>РС5243</t>
  </si>
  <si>
    <t>№ 3012</t>
  </si>
  <si>
    <t>Римские свечи РС5244 Малиновый звон (0,8 х 5)</t>
  </si>
  <si>
    <t>РС5244</t>
  </si>
  <si>
    <t>№ 7099</t>
  </si>
  <si>
    <t>Римские свечи РС5274 Новогодняя игрушка (0,8 х 8)</t>
  </si>
  <si>
    <t>РС5274</t>
  </si>
  <si>
    <t>№ 8652</t>
  </si>
  <si>
    <t>Римские свечи РС5280 Биатлон (0,8" х 10)</t>
  </si>
  <si>
    <t>РС5280</t>
  </si>
  <si>
    <t>№ 8658</t>
  </si>
  <si>
    <t>Римские свечи РС5590 Красная планета (1,2" х 10)</t>
  </si>
  <si>
    <t>РС5590</t>
  </si>
  <si>
    <t>№ 8659</t>
  </si>
  <si>
    <t>Римские свечи РС5592 Золотое руно (1,2" х 10)</t>
  </si>
  <si>
    <t>РС5592</t>
  </si>
  <si>
    <t>№ 7113</t>
  </si>
  <si>
    <t>Римские свечи РС5670 Магия огня (1,5" х 8)</t>
  </si>
  <si>
    <t>РС5670</t>
  </si>
  <si>
    <t>№ 3016</t>
  </si>
  <si>
    <t>Римские свечи (связка) РС5720 Южный крест (0,8" х 40)</t>
  </si>
  <si>
    <t>РС5720</t>
  </si>
  <si>
    <t>№ 9977</t>
  </si>
  <si>
    <t>Римские свечи (связка) РС5830 Гатлинг (0,3" х 660) (можно держать в руках)</t>
  </si>
  <si>
    <t>РС5830</t>
  </si>
  <si>
    <t>№ 8267</t>
  </si>
  <si>
    <t>Римские свечи ОС5252 Гжель (0,8" х 8)</t>
  </si>
  <si>
    <t>ОС5252</t>
  </si>
  <si>
    <t>№ 8729</t>
  </si>
  <si>
    <t>Римские свечи T-6237 Терминатор / STERMINATOR (0,3" х 15)</t>
  </si>
  <si>
    <t>T-6237</t>
  </si>
  <si>
    <t>80/12/1</t>
  </si>
  <si>
    <t>№ 8730</t>
  </si>
  <si>
    <t>Римские свечи T-6238 Красные звезды / RED STARS WITH REPORT (0,3" х 20)</t>
  </si>
  <si>
    <t>T-6238</t>
  </si>
  <si>
    <t>48/12/1</t>
  </si>
  <si>
    <t>№ 8731</t>
  </si>
  <si>
    <t>Римские свечи T-6242 Волшебная свеча 40 / MAGIC CANDLE 40 (0,3" х 40)</t>
  </si>
  <si>
    <t>T-6242</t>
  </si>
  <si>
    <t>Хлопушки</t>
  </si>
  <si>
    <t>№ 10790</t>
  </si>
  <si>
    <t>Пневмохлопушка CM002 "Агатовое сердце" / Agate Heart (золотые и цвета фуксии сердца, фольга) 30см</t>
  </si>
  <si>
    <t>CM002</t>
  </si>
  <si>
    <t>100/1</t>
  </si>
  <si>
    <t>№ 10617</t>
  </si>
  <si>
    <t>Пневмохлопушка CM003  "Бусинки счастья" / Joybeads (цветное конфетти, фольга) 30см</t>
  </si>
  <si>
    <t>CM003</t>
  </si>
  <si>
    <t>№ 10613</t>
  </si>
  <si>
    <t>Пневмохлопушка CM005 "Праздничный серпантин" / Holiday Streamers (серпантин, фольга) 30см</t>
  </si>
  <si>
    <t>CM005</t>
  </si>
  <si>
    <t>№ 10614</t>
  </si>
  <si>
    <t>Пневмохлопушка CM006 "Деньги на ветер" / Money Swirl ("денежные купюры" - рубли, золотое конфетти, фольга) 30см</t>
  </si>
  <si>
    <t>CM006</t>
  </si>
  <si>
    <t>№ 10774</t>
  </si>
  <si>
    <t>Пневмохлопушка CM007 "Бабочки" (разноцветные бабочки и конфетти, фольга) 30см</t>
  </si>
  <si>
    <t>CM007</t>
  </si>
  <si>
    <t>№ 10615</t>
  </si>
  <si>
    <t>Пневмохлопушка CM009 "Серебристо-Золотой" /  Silver-Gold Konfetti (золотое и серебряное конфетти, фольга) 30см</t>
  </si>
  <si>
    <t>CM009</t>
  </si>
  <si>
    <t>№ 10616</t>
  </si>
  <si>
    <t>Пневмохлопушка CM011 "Звезды вечеринки" / Party stars (золотые и серебряные звездочки, фольга) 30см</t>
  </si>
  <si>
    <t>CM011</t>
  </si>
  <si>
    <t>№ 11129</t>
  </si>
  <si>
    <t>Пневмохлопушка CM013 "Золотые горы" / Golden Hills (золотое конфетти, фольга) 30см</t>
  </si>
  <si>
    <t>CM013</t>
  </si>
  <si>
    <t>№ 10908</t>
  </si>
  <si>
    <t>Пневмохлопушка CM015 Blue "Бэби-бум" / Baby Boom для Гендер Пати (Gender Party) (мальчик, конфетти, фольга) 30см</t>
  </si>
  <si>
    <t>CM015 Blue</t>
  </si>
  <si>
    <t>№ 10909</t>
  </si>
  <si>
    <t>Пневмохлопушка CM015 Pink "Бэби-бум" / Baby Boom для Гендер Пати (Gender Party) (девочка, конфетти, фольга) 30см</t>
  </si>
  <si>
    <t>CM015 Pink</t>
  </si>
  <si>
    <t>№ 10782</t>
  </si>
  <si>
    <t>Пневмохлопушка JF H300-50PF/04 "Серебряное конфетти"  (серебряное конфетти, фольга) 30см</t>
  </si>
  <si>
    <t>JF H300-50PF/04</t>
  </si>
  <si>
    <t>8/12/1</t>
  </si>
  <si>
    <t>№ 10780</t>
  </si>
  <si>
    <t>Пневмохлопушка "Узнай кто" для Гендер Пати (Gender Party) (девочка, розовое бумажное конфетти) 30см</t>
  </si>
  <si>
    <t>JF H300-50PP/03G1</t>
  </si>
  <si>
    <t>№ 10781</t>
  </si>
  <si>
    <t>Пневмохлопушка "Узнай кто" для Гендер Пати (Gender Party) (мальчик, голубое бумажное конфетти) 30см</t>
  </si>
  <si>
    <t>JF H300-50PP/03G2</t>
  </si>
  <si>
    <t>№ 10784</t>
  </si>
  <si>
    <t>Пневмохлопушка JF H600-50PF/03 "Поздравляем!" (разноцветное конфетти, фольга) 60см</t>
  </si>
  <si>
    <t>JF H600-50PF/03</t>
  </si>
  <si>
    <t>4/12/1</t>
  </si>
  <si>
    <t>№ 10785</t>
  </si>
  <si>
    <t>Пневмохлопушка JF H800-50PF/01 "С праздником!" (разноцветное конфетти, фольга) 80см</t>
  </si>
  <si>
    <t>JF H800-50PF/01</t>
  </si>
  <si>
    <t>№ 10786</t>
  </si>
  <si>
    <t>Пневмохлопушка JF H800-50PF/02 "Разноцветный серпантин" (разноцветный серпантин, фольга) 80см</t>
  </si>
  <si>
    <t>JF H800-50PF/02</t>
  </si>
  <si>
    <t>№ 2752</t>
  </si>
  <si>
    <t>Хлопушка "Макси" 120мм конфетти ТР104</t>
  </si>
  <si>
    <t>ТР104</t>
  </si>
  <si>
    <t>ТСЗ</t>
  </si>
  <si>
    <t>116/1</t>
  </si>
  <si>
    <t>№ 2753</t>
  </si>
  <si>
    <t>Супер хлопушка "Новогодняя" 100мм конфетти ТР106 (упаковка 3 шт.)</t>
  </si>
  <si>
    <t>ТР106</t>
  </si>
  <si>
    <t>150/3</t>
  </si>
  <si>
    <t>№ 2754</t>
  </si>
  <si>
    <t>Супер хлопушка "Детская" 100мм конфетти, сюрприз ТР107 (упаковка 3 шт.)</t>
  </si>
  <si>
    <t>ТР107</t>
  </si>
  <si>
    <t>№ 2755</t>
  </si>
  <si>
    <t>Супер хлопушка "Новогодняя" 100мм конфетти, серпантин ТР108 (упаковка 3 шт.)</t>
  </si>
  <si>
    <t>ТР108</t>
  </si>
  <si>
    <t>№ 2756</t>
  </si>
  <si>
    <t>Хлопушка "Маска" 130мм конфетти, сюрприз ТР109</t>
  </si>
  <si>
    <t>ТР109</t>
  </si>
  <si>
    <t>№ 2757</t>
  </si>
  <si>
    <t>Хлопушка "Листопад" 130мм конфетти, серпантин ТР110</t>
  </si>
  <si>
    <t>ТР110</t>
  </si>
  <si>
    <t>Бенгальские огни</t>
  </si>
  <si>
    <t>№ 8637</t>
  </si>
  <si>
    <t>Бенгальские огни РС1725 / 450мм (упаковка 3 шт.)</t>
  </si>
  <si>
    <t>РС1725</t>
  </si>
  <si>
    <t>6/20/3</t>
  </si>
  <si>
    <t>№ 7083</t>
  </si>
  <si>
    <t>Бенгальские свечи РС1755 Цветной бенгальский огонь 300мм</t>
  </si>
  <si>
    <t>РС1755</t>
  </si>
  <si>
    <t>10/50/6</t>
  </si>
  <si>
    <t>№ 7085</t>
  </si>
  <si>
    <t>Бенгальские свечи РС1780 Цветной искристый огонь 300мм</t>
  </si>
  <si>
    <t>РС1780</t>
  </si>
  <si>
    <t>120/4</t>
  </si>
  <si>
    <t>№ 8745</t>
  </si>
  <si>
    <t>Бенгальские свечи фигурные 0784S Звезда / STAR SPARKLER</t>
  </si>
  <si>
    <t>0784S</t>
  </si>
  <si>
    <t>150/2</t>
  </si>
  <si>
    <t>№ 9897</t>
  </si>
  <si>
    <t>Бенгальские огни 0977 "Мороз и звезды" 160 мм</t>
  </si>
  <si>
    <t>0977</t>
  </si>
  <si>
    <t>5/100/6</t>
  </si>
  <si>
    <t>№ 3175</t>
  </si>
  <si>
    <t>Бенгальские огни 600мм (ТСЗ) ТР154 (упаковка 3 шт.)</t>
  </si>
  <si>
    <t>ТР154</t>
  </si>
  <si>
    <t>20/3</t>
  </si>
  <si>
    <t>№ 5577</t>
  </si>
  <si>
    <t>Бенгальские свечи фигурные ТР161 "Звездочка"</t>
  </si>
  <si>
    <t>ТР161</t>
  </si>
  <si>
    <t>100/2</t>
  </si>
  <si>
    <t>№ 5578</t>
  </si>
  <si>
    <t>Бенгальские свечи фигурные ТР162 "Сердечко"</t>
  </si>
  <si>
    <t>ТР162</t>
  </si>
  <si>
    <t>№ 5579</t>
  </si>
  <si>
    <t>Бенгальские свечи фигурные ТР163 "Елочка"</t>
  </si>
  <si>
    <t>ТР163</t>
  </si>
  <si>
    <t>№ 3176</t>
  </si>
  <si>
    <t>Бенгальские огни 150мм (Челябинск) ЧЛ-150 (упаковка 5 шт.)</t>
  </si>
  <si>
    <t>СБ150Н5</t>
  </si>
  <si>
    <t>УПЗ (г.Челябинск)</t>
  </si>
  <si>
    <t>280/5</t>
  </si>
  <si>
    <t>№ 5152</t>
  </si>
  <si>
    <t>Бенгальские огни "Белый снег" 400мм (Челябинск) (упаковка 3 шт.)</t>
  </si>
  <si>
    <t>СБ400БС3</t>
  </si>
  <si>
    <t>27/3</t>
  </si>
  <si>
    <t>№ 10779</t>
  </si>
  <si>
    <t>Бенгальские огни "Золото России" 400мм (Челябинск)  (упаковка 3 шт.)</t>
  </si>
  <si>
    <t>СБ400ЗР3</t>
  </si>
  <si>
    <t>№ 8281</t>
  </si>
  <si>
    <t>Бенгальские огни цветные "Светофор" 400мм (Челябинск) - красный, желтый, зеленый (упаковка 3 шт.)</t>
  </si>
  <si>
    <t>СБ400С3</t>
  </si>
  <si>
    <t>№ 5153</t>
  </si>
  <si>
    <t>Бенгальские огни цветные "Триколор" 400мм (Челябинск) - белый, синий, красный (упаковка 3 шт.)</t>
  </si>
  <si>
    <t>СБ400Т3</t>
  </si>
  <si>
    <t>№ 5132</t>
  </si>
  <si>
    <t>Бенгальские огни 400мм цветные ассорти - Красный, Зеленый, Голубой, Желтый (Челябинск) ЧЛ-400цп</t>
  </si>
  <si>
    <t>СБ400Ц4</t>
  </si>
  <si>
    <t>18/4</t>
  </si>
  <si>
    <t>№ 5154</t>
  </si>
  <si>
    <t>Бенгальские огни "Белый снег" 650мм (Челябинск) (упаковка 3 шт.)</t>
  </si>
  <si>
    <t>СБ650БС3</t>
  </si>
  <si>
    <t>№ 10620</t>
  </si>
  <si>
    <t>Бенгальские огни "Золото России" 650мм (Челябинск) (упаковка 3 шт.)</t>
  </si>
  <si>
    <t>СБ650ЗР3</t>
  </si>
  <si>
    <t>№ 5155</t>
  </si>
  <si>
    <t>Бенгальские огни цветные "Триколор" 650мм (Челябинск) - белый, синий, красный (упаковка 3 шт.)</t>
  </si>
  <si>
    <t>СБ650Т3</t>
  </si>
  <si>
    <t>№ 5133</t>
  </si>
  <si>
    <t>Бенгальские огни 650мм цветные ассорти - Красный, Зеленый, Голубой, Желтый (Челябинск) ЧЛ-650цп</t>
  </si>
  <si>
    <t>СБ650Ц4</t>
  </si>
  <si>
    <t>Фонтаны пиротехнические</t>
  </si>
  <si>
    <t>№ 10928</t>
  </si>
  <si>
    <t>Фонтан пиротехнический Р4050 Чудо</t>
  </si>
  <si>
    <t>Р4050</t>
  </si>
  <si>
    <t>18/6/1</t>
  </si>
  <si>
    <t>№ 10929</t>
  </si>
  <si>
    <t>Фонтан пиротехнический Р4062 Ёрш</t>
  </si>
  <si>
    <t>Р4062</t>
  </si>
  <si>
    <t>12/4/1</t>
  </si>
  <si>
    <t>№ 11200</t>
  </si>
  <si>
    <t>Набор пиротехнических фонтанов Р4063 Снежок</t>
  </si>
  <si>
    <t>НОВИНКА! - Фонтаны пиротехнические</t>
  </si>
  <si>
    <t>Р4063</t>
  </si>
  <si>
    <t>12/4</t>
  </si>
  <si>
    <t>№ 11201</t>
  </si>
  <si>
    <t>Фонтан пиротехнический Р4064 Лапки</t>
  </si>
  <si>
    <t>Р4064</t>
  </si>
  <si>
    <t>№ 3100</t>
  </si>
  <si>
    <t>Фонтан пиротехнический Р4066 Звездная пыль</t>
  </si>
  <si>
    <t>Р4066</t>
  </si>
  <si>
    <t>№ 11213</t>
  </si>
  <si>
    <t>Фонтан пиротехнический Р4090 Пин-кот</t>
  </si>
  <si>
    <t>Р4090</t>
  </si>
  <si>
    <t>6/4/1</t>
  </si>
  <si>
    <t>№ 11202</t>
  </si>
  <si>
    <t>Фонтан пиротехнический Р4101 Какаду</t>
  </si>
  <si>
    <t>Р4101</t>
  </si>
  <si>
    <t>№ 2281</t>
  </si>
  <si>
    <t>Фонтан пиротехнический Р4120 Царский</t>
  </si>
  <si>
    <t>Р4120</t>
  </si>
  <si>
    <t>6/2/1</t>
  </si>
  <si>
    <t>№ 11203</t>
  </si>
  <si>
    <t>Фонтан пиротехнический Р4121 Брют</t>
  </si>
  <si>
    <t>Р4121</t>
  </si>
  <si>
    <t>3/4/1</t>
  </si>
  <si>
    <t>№ 10930</t>
  </si>
  <si>
    <t>Фонтан пиротехнический Р4202 Светлячок</t>
  </si>
  <si>
    <t>Р4202</t>
  </si>
  <si>
    <t>48/3</t>
  </si>
  <si>
    <t>№ 10931</t>
  </si>
  <si>
    <t>Фонтан пиротехнический Р4205 Павлин</t>
  </si>
  <si>
    <t>Р4205</t>
  </si>
  <si>
    <t>30/12/1</t>
  </si>
  <si>
    <t>№ 4607</t>
  </si>
  <si>
    <t>Фонтан пиротехнический Р4210 Театр кукол: Карабас, Буратино, Мальвина, Арлекин</t>
  </si>
  <si>
    <t>Р4210</t>
  </si>
  <si>
    <t>36/4</t>
  </si>
  <si>
    <t>№ 10932</t>
  </si>
  <si>
    <t>Фонтан пиротехнический Р4218 "Привет от аиста" (мальчик) - для Гендер Пати (Gender Party)</t>
  </si>
  <si>
    <t>Р4218</t>
  </si>
  <si>
    <t>№ 10933</t>
  </si>
  <si>
    <t>Фонтан пиротехнический Р4219 "Привет от аиста" (девочка) - для Гендер Пати (Gender Party)</t>
  </si>
  <si>
    <t>Р4219</t>
  </si>
  <si>
    <t>№ 11204</t>
  </si>
  <si>
    <t>Фонтан пиротехнический Р4224 Казачок</t>
  </si>
  <si>
    <t>Р4224</t>
  </si>
  <si>
    <t>№ 5441</t>
  </si>
  <si>
    <t>Фонтан пиротехнический Р4320 Шахерезада</t>
  </si>
  <si>
    <t>Р4320</t>
  </si>
  <si>
    <t>№ 10934</t>
  </si>
  <si>
    <t>Фонтан пиротехнический Р4644 Тиара</t>
  </si>
  <si>
    <t>Р4644</t>
  </si>
  <si>
    <t>№ 10935</t>
  </si>
  <si>
    <t>Фонтан пиротехнический Р4800 Волшебная палочка</t>
  </si>
  <si>
    <t>Р4800</t>
  </si>
  <si>
    <t>100/4</t>
  </si>
  <si>
    <t>№ 8047</t>
  </si>
  <si>
    <t>Сценический фонтан Р4814 Холодный огонь</t>
  </si>
  <si>
    <t>Р4814</t>
  </si>
  <si>
    <t>8/10/1</t>
  </si>
  <si>
    <t>№ 8642</t>
  </si>
  <si>
    <t>Фонтаны в торт РС1950 "Экстра" (упаковка 4 шт.)</t>
  </si>
  <si>
    <t>РС1950</t>
  </si>
  <si>
    <t>144/4</t>
  </si>
  <si>
    <t>№ 10759</t>
  </si>
  <si>
    <t>Фонтаны в торт РС1960/Girl "Мальчик или Девочка" (розовое пламя) - для Гендер Пати (Gender Party) (упаковка 4 шт.)</t>
  </si>
  <si>
    <t>РС1960/Girl</t>
  </si>
  <si>
    <t>№ 10760</t>
  </si>
  <si>
    <t>Фонтаны в торт РС1960/Boy "Мальчик или Девочка" (синее пламя) - для Гендер Пати (Gender Party) (упаковка 4 шт.)</t>
  </si>
  <si>
    <t>РС1960/Boy</t>
  </si>
  <si>
    <t>№ 9962</t>
  </si>
  <si>
    <t>Фонтан пиротехнический РС4010 Калаш (можно держать в руках)</t>
  </si>
  <si>
    <t>РС4010</t>
  </si>
  <si>
    <t>№ 9963</t>
  </si>
  <si>
    <t>Фонтан пиротехнический РС4018 Меч-кладенец (можно держать в руках)</t>
  </si>
  <si>
    <t>РС4018</t>
  </si>
  <si>
    <t>№ 10903</t>
  </si>
  <si>
    <t>Фонтан пиротехнический РС4060 Акварель</t>
  </si>
  <si>
    <t>РС4060</t>
  </si>
  <si>
    <t>24/5</t>
  </si>
  <si>
    <t>№ 3006</t>
  </si>
  <si>
    <t>Фонтан пиротехнический РС4080 Анютины глазки</t>
  </si>
  <si>
    <t>РС4080</t>
  </si>
  <si>
    <t>72/1</t>
  </si>
  <si>
    <t>№ 3007</t>
  </si>
  <si>
    <t>Фонтан пиротехнический РС4081 Вася-василек</t>
  </si>
  <si>
    <t>РС4081</t>
  </si>
  <si>
    <t>№ 10761</t>
  </si>
  <si>
    <t>Фонтан пиротехнический РС4085/Girl "Мальчик или Девочка" (розовые огни) - для Гендер Пати (Gender Party)</t>
  </si>
  <si>
    <t>РС4085/Girl</t>
  </si>
  <si>
    <t>№ 10762</t>
  </si>
  <si>
    <t>Фонтан пиротехнический РС4085/Boy "Мальчик или Девочка" (синие огни) - для Гендер Пати (Gender Party)</t>
  </si>
  <si>
    <t>РС4085/Boy</t>
  </si>
  <si>
    <t>№ 10905</t>
  </si>
  <si>
    <t>Фонтан пиротехнический РС4088 Праздничный</t>
  </si>
  <si>
    <t>РС4088</t>
  </si>
  <si>
    <t>16/5/1</t>
  </si>
  <si>
    <t>№ 2528</t>
  </si>
  <si>
    <t>Фонтан пиротехнический РС4161 Бурный Везувий</t>
  </si>
  <si>
    <t>РС4161</t>
  </si>
  <si>
    <t>10/4/1</t>
  </si>
  <si>
    <t>№ 8649</t>
  </si>
  <si>
    <t>Фонтан пиротехнический РС4164 Золото персидской ночи</t>
  </si>
  <si>
    <t>РС4164</t>
  </si>
  <si>
    <t>10/2/1</t>
  </si>
  <si>
    <t>№ 8650</t>
  </si>
  <si>
    <t>Фонтан пиротехнический РС4165 Серебро персидской ночи</t>
  </si>
  <si>
    <t>РС4165</t>
  </si>
  <si>
    <t>№ 9967</t>
  </si>
  <si>
    <t>Фонтан пиротехнический РС4340 Смайл / Smile</t>
  </si>
  <si>
    <t>РС4340</t>
  </si>
  <si>
    <t>№ 3010</t>
  </si>
  <si>
    <t>Фонтан пиротехнический РС4350 Снежный человек</t>
  </si>
  <si>
    <t>РС4350</t>
  </si>
  <si>
    <t>№ 3160</t>
  </si>
  <si>
    <t>Фонтан пиротехнический РС4520 Мир для двоих</t>
  </si>
  <si>
    <t>РС4520</t>
  </si>
  <si>
    <t>№ 10824</t>
  </si>
  <si>
    <t>Фонтан пиротехнический РС4570 Апельсиновый фрэш</t>
  </si>
  <si>
    <t>РС4570</t>
  </si>
  <si>
    <t>№ 10825</t>
  </si>
  <si>
    <t>Фонтан пиротехнический РС4580 Сочный цитрус</t>
  </si>
  <si>
    <t>РС4580</t>
  </si>
  <si>
    <t>№ 8964</t>
  </si>
  <si>
    <t>Фонтан пиротехнический 04105 Гейзер</t>
  </si>
  <si>
    <t>04105</t>
  </si>
  <si>
    <t>Премьер Салют</t>
  </si>
  <si>
    <t>16/6/1</t>
  </si>
  <si>
    <t>№ 5175</t>
  </si>
  <si>
    <t>Холодный фонтан 04209 Ледяной огонь</t>
  </si>
  <si>
    <t>04209</t>
  </si>
  <si>
    <t>№ 6265</t>
  </si>
  <si>
    <t>Фонтан пиротехнический VH-FO-06 Вулкан / Vulcaan</t>
  </si>
  <si>
    <t>VH-FO-06</t>
  </si>
  <si>
    <t>№ 6267</t>
  </si>
  <si>
    <t>Фонтан пиротехнический VH-FO-09 Кратер / Krater</t>
  </si>
  <si>
    <t>VH-FO-09</t>
  </si>
  <si>
    <t>№ 8739</t>
  </si>
  <si>
    <t>Фонтан пиротехнический GW0819-10 Серебряный фонтан / SILVER FOUNTAN</t>
  </si>
  <si>
    <t>GW0819-10</t>
  </si>
  <si>
    <t>40/10/1</t>
  </si>
  <si>
    <t>№ 4326</t>
  </si>
  <si>
    <t>Фейерверк для торта MF-001 Fontana Tortowa (упаковка 4 шт.)</t>
  </si>
  <si>
    <t>MF-001</t>
  </si>
  <si>
    <t>4/45/4</t>
  </si>
  <si>
    <t>№ 4327</t>
  </si>
  <si>
    <t>Фейерверк для торта MF-002 Fontana Tortowa II (упаковка 4 шт.)</t>
  </si>
  <si>
    <t>MF-002</t>
  </si>
  <si>
    <t>4/35/4</t>
  </si>
  <si>
    <t>№ 9165</t>
  </si>
  <si>
    <t>Фейерверк для торта MF-004 Разноцветный огонь / Flower fountain (упаковка 4 шт.)</t>
  </si>
  <si>
    <t>MF-004</t>
  </si>
  <si>
    <t>№ 8504</t>
  </si>
  <si>
    <t>Фейерверк для торта MF-005 Ледяной фонтан / Ice fountain (упаковка 2 шт.)</t>
  </si>
  <si>
    <t>MF-005</t>
  </si>
  <si>
    <t>4/45/2</t>
  </si>
  <si>
    <t>№ 10015</t>
  </si>
  <si>
    <t>Фейерверк для торта MF-010 Гигантские фонтаны в торт / Cake Fountain (упаковка 3 шт.)</t>
  </si>
  <si>
    <t>MF-010</t>
  </si>
  <si>
    <t>4/30/3</t>
  </si>
  <si>
    <t>№ 10483</t>
  </si>
  <si>
    <t>Фонтаны в торт длинные JF TS18-80 (упаковка 4 шт.)</t>
  </si>
  <si>
    <t>JF TS18-80</t>
  </si>
  <si>
    <t>6/20/4</t>
  </si>
  <si>
    <t>Ракеты</t>
  </si>
  <si>
    <t>№ 2617</t>
  </si>
  <si>
    <t>Мини-ракеты Р2010 Пугач</t>
  </si>
  <si>
    <t>Р2010</t>
  </si>
  <si>
    <t>25/12/12</t>
  </si>
  <si>
    <t>№ 11198</t>
  </si>
  <si>
    <t>Мини-ракеты Р2020 К цели!</t>
  </si>
  <si>
    <t>НОВИНКА! - Ракеты</t>
  </si>
  <si>
    <t>Р2020</t>
  </si>
  <si>
    <t>№ 4793</t>
  </si>
  <si>
    <t>Ракеты Р2300 Ассорти</t>
  </si>
  <si>
    <t>Р2300</t>
  </si>
  <si>
    <t>72/6</t>
  </si>
  <si>
    <t>№ 8643</t>
  </si>
  <si>
    <t>Ракеты РС2210 Ассорти</t>
  </si>
  <si>
    <t>РС2210</t>
  </si>
  <si>
    <t>№ 8646</t>
  </si>
  <si>
    <t>Ракеты РС2245 Аргонавты</t>
  </si>
  <si>
    <t>РС2245</t>
  </si>
  <si>
    <t>№ 8728</t>
  </si>
  <si>
    <t>Мини-ракеты 0445D Свистящие кометы / WHISTLING MOON TRAVELLERS</t>
  </si>
  <si>
    <t>0445D</t>
  </si>
  <si>
    <t>№ 8502</t>
  </si>
  <si>
    <t>Ракеты GWRXXL Набор XXL</t>
  </si>
  <si>
    <t>GWRXXL</t>
  </si>
  <si>
    <t>12/12</t>
  </si>
  <si>
    <t>№ 5582</t>
  </si>
  <si>
    <t>Мини-ракеты JF 0445 Свист-хлоп</t>
  </si>
  <si>
    <t>JF 0445</t>
  </si>
  <si>
    <t>Фестивальные шары</t>
  </si>
  <si>
    <t>№ 2220</t>
  </si>
  <si>
    <t>Фестивальные шары РС5930 Неваляшка (1,75" х 6)</t>
  </si>
  <si>
    <t>РС5930</t>
  </si>
  <si>
    <t>15/1</t>
  </si>
  <si>
    <t>№ 2219</t>
  </si>
  <si>
    <t>Фестивальные шары РС5950 Звезды дискотек (2" х 6)</t>
  </si>
  <si>
    <t>РС5950</t>
  </si>
  <si>
    <t>№ 4685</t>
  </si>
  <si>
    <t>Фестивальные цилиндры 08009 Мортира 45 (1,75" х 6)</t>
  </si>
  <si>
    <t>08009</t>
  </si>
  <si>
    <t>№ 10567</t>
  </si>
  <si>
    <t>Фестивальные шары VS-0044 Раскаты грома / FESTIVAL BALLS (1,5" х 12)</t>
  </si>
  <si>
    <t>VS-0044</t>
  </si>
  <si>
    <t>№ 8737</t>
  </si>
  <si>
    <t>Фестивальные шары VS-0046 Пушка / ARTILLERY SHELLS (2" х 8)</t>
  </si>
  <si>
    <t>VS-0046</t>
  </si>
  <si>
    <t>Небесные фонарики</t>
  </si>
  <si>
    <t>№ 10671</t>
  </si>
  <si>
    <t>Небесный фонарик "С днём рождения! Шарики" (белый)</t>
  </si>
  <si>
    <t>Страна Карнавалия</t>
  </si>
  <si>
    <t>№ 10643</t>
  </si>
  <si>
    <t>Небесный фонарик "С днём рождения! Свечки" (желтый)</t>
  </si>
  <si>
    <t>3536732-Ж</t>
  </si>
  <si>
    <t>№ 10672</t>
  </si>
  <si>
    <t>Небесный фонарик "С днём рождения! Тортик" (белый)</t>
  </si>
  <si>
    <t>№ 10330</t>
  </si>
  <si>
    <t>Небесный фонарик "С днём рождения!" (белый)</t>
  </si>
  <si>
    <t>№ 10688</t>
  </si>
  <si>
    <t>Небесный фонарик "С днём рождения! Звездочки" (голубой)</t>
  </si>
  <si>
    <t>3855871-Г</t>
  </si>
  <si>
    <t>№ 10689</t>
  </si>
  <si>
    <t>Небесный фонарик "С днём рождения! Звездочки" (розовый)</t>
  </si>
  <si>
    <t>3855871-Р</t>
  </si>
  <si>
    <t>№ 10345</t>
  </si>
  <si>
    <t>Небесный фонарик "С ДР" (голубой)</t>
  </si>
  <si>
    <t>3855872-Г</t>
  </si>
  <si>
    <t>№ 10346</t>
  </si>
  <si>
    <t>Небесный фонарик "С ДР" (желтый)</t>
  </si>
  <si>
    <t>3855872-Ж</t>
  </si>
  <si>
    <t>№ 10650</t>
  </si>
  <si>
    <t>Небесный фонарик "С ДР" (зеленый)</t>
  </si>
  <si>
    <t>3855872-З</t>
  </si>
  <si>
    <t>№ 10649</t>
  </si>
  <si>
    <t>Небесный фонарик "С днём рождения тебя! Ноты" (зеленый)</t>
  </si>
  <si>
    <t>3855874-З</t>
  </si>
  <si>
    <t>№ 10690</t>
  </si>
  <si>
    <t>Небесный фонарик "С днём рождения тебя! Ноты" (розовый)</t>
  </si>
  <si>
    <t>3855874-Р</t>
  </si>
  <si>
    <t>№ 10648</t>
  </si>
  <si>
    <t>Небесный фонарик "С днём рождения тебя! Ноты" (фиолетовый)</t>
  </si>
  <si>
    <t>3855874-Ф</t>
  </si>
  <si>
    <t>№ 10684</t>
  </si>
  <si>
    <t>Небесный фонарик "Я тебя люблю" - сердце (голубой)</t>
  </si>
  <si>
    <t>3893618-Г</t>
  </si>
  <si>
    <t>№ 10683</t>
  </si>
  <si>
    <t>Небесный фонарик "Я тебя люблю" - сердце (красный)</t>
  </si>
  <si>
    <t>3893618-К</t>
  </si>
  <si>
    <t>№ 10686</t>
  </si>
  <si>
    <t>Небесный фонарик "Я люблю тебя" - сердце розовое (Страна Карнавалия)</t>
  </si>
  <si>
    <t>3893624-Р</t>
  </si>
  <si>
    <t>№ 10687</t>
  </si>
  <si>
    <t>Небесный фонарик "Я люблю тебя" - сердце темно-розовое (Страна Карнавалия)</t>
  </si>
  <si>
    <t>3893624-ТР</t>
  </si>
  <si>
    <t>№ 10685</t>
  </si>
  <si>
    <t>Небесный фонарик "Я люблю тебя" - сердце фиолетовое (Страна Карнавалия)</t>
  </si>
  <si>
    <t>3893624-Ф</t>
  </si>
  <si>
    <t>№ 10335</t>
  </si>
  <si>
    <t>Небесный фонарик "Ты мой космос" (фиолетовый)</t>
  </si>
  <si>
    <t>№ 10673</t>
  </si>
  <si>
    <t>Небесный фонарик "С днём рождения! Мысли позитивно и все получится" (желтый)</t>
  </si>
  <si>
    <t>№ 10583</t>
  </si>
  <si>
    <t>Небесный фонарик "Осторожно! Все мечты сбудутся!" (желтый)</t>
  </si>
  <si>
    <t>№ 9742</t>
  </si>
  <si>
    <t>Небесный фонарик «Поздравляю с чем-то там» (белый)</t>
  </si>
  <si>
    <t>№ 10584</t>
  </si>
  <si>
    <t>Небесный фонарик "С днём рождения! Волшебник" (желтый)</t>
  </si>
  <si>
    <t>Все для праздника</t>
  </si>
  <si>
    <t>№ 5686</t>
  </si>
  <si>
    <t>Маска карнавальная кружевная "АВГУСТЕЙШАЯ  ОСОБА" (М14)</t>
  </si>
  <si>
    <t>М14</t>
  </si>
  <si>
    <t>Jumbo</t>
  </si>
  <si>
    <t>№ 5691</t>
  </si>
  <si>
    <t>Маска для Хеллоуина - череп бронзовый (М19)</t>
  </si>
  <si>
    <t>М19</t>
  </si>
  <si>
    <t>№ 8285</t>
  </si>
  <si>
    <t>Маска карнавальная "Снегурочка"</t>
  </si>
  <si>
    <t>275/5/1</t>
  </si>
  <si>
    <t>№ 8570</t>
  </si>
  <si>
    <t>Свеча для торта золотая - цифра "0"</t>
  </si>
  <si>
    <t>№ 8573</t>
  </si>
  <si>
    <t>Свеча для торта золотая - цифра "3"</t>
  </si>
  <si>
    <t>№ 8574</t>
  </si>
  <si>
    <t>Свеча для торта золотая - цифра "4"</t>
  </si>
  <si>
    <t>№ 8575</t>
  </si>
  <si>
    <t>Свеча для торта золотая - цифра "5"</t>
  </si>
  <si>
    <t>№ 8576</t>
  </si>
  <si>
    <t>Свеча для торта золотая - цифра "6"</t>
  </si>
  <si>
    <t>№ 8578</t>
  </si>
  <si>
    <t>Свеча для торта золотая - цифра "8"</t>
  </si>
  <si>
    <t>№ 8579</t>
  </si>
  <si>
    <t>Свеча для торта золотая - цифра "9"</t>
  </si>
  <si>
    <t>№ 8590</t>
  </si>
  <si>
    <t>Свеча для торта "С Днем рождения" - цифра "1"</t>
  </si>
  <si>
    <t>720/1</t>
  </si>
  <si>
    <t>№ 8591</t>
  </si>
  <si>
    <t>Свеча для торта "С Днем рождения" - цифра "2"</t>
  </si>
  <si>
    <t>№ 8592</t>
  </si>
  <si>
    <t>Свеча для торта "С Днем рождения" - цифра "3"</t>
  </si>
  <si>
    <t>№ 8593</t>
  </si>
  <si>
    <t>Свеча для торта "С Днем рождения" - цифра "4"</t>
  </si>
  <si>
    <t>№ 8594</t>
  </si>
  <si>
    <t>Свеча для торта "С Днем рождения" - цифра "5"</t>
  </si>
  <si>
    <t>№ 8595</t>
  </si>
  <si>
    <t>Свеча для торта "С Днем рождения" - цифра "6"</t>
  </si>
  <si>
    <t>№ 8596</t>
  </si>
  <si>
    <t>Свеча для торта "С Днем рождения" - цифра "7"</t>
  </si>
  <si>
    <t>№ 8598</t>
  </si>
  <si>
    <t>Свеча для торта "С Днем рождения" - цифра "9"</t>
  </si>
  <si>
    <t>№ 8566</t>
  </si>
  <si>
    <t>Светящиеся браслеты МИКС (упаковка 50 шт.)</t>
  </si>
  <si>
    <t>№ 8613</t>
  </si>
  <si>
    <t>Свечи для торта "Космос"</t>
  </si>
  <si>
    <t>50/5</t>
  </si>
  <si>
    <t>№ 8580</t>
  </si>
  <si>
    <t>Свеча для торта серебряная - цифра "0"</t>
  </si>
  <si>
    <t>№ 8584</t>
  </si>
  <si>
    <t>Свеча для торта серебряная - цифра "4"</t>
  </si>
  <si>
    <t>№ 8585</t>
  </si>
  <si>
    <t>Свеча для торта серебряная - цифра "5"</t>
  </si>
  <si>
    <t>№ 8582</t>
  </si>
  <si>
    <t>Свеча для торта серебряная - цифра "2"</t>
  </si>
  <si>
    <t>№ 8583</t>
  </si>
  <si>
    <t>Свеча для торта серебряная - цифра "3"</t>
  </si>
  <si>
    <t>№ 8586</t>
  </si>
  <si>
    <t>Свеча для торта серебряная - цифра "6"</t>
  </si>
  <si>
    <t>№ 8587</t>
  </si>
  <si>
    <t>Свеча для торта серебряная - цифра "7"</t>
  </si>
  <si>
    <t>№ 8588</t>
  </si>
  <si>
    <t>Свеча для торта серебряная - цифра "8"</t>
  </si>
  <si>
    <t>№ 8589</t>
  </si>
  <si>
    <t>Свеча для торта серебряная - цифра "9"</t>
  </si>
  <si>
    <t>№ 10537</t>
  </si>
  <si>
    <t>Свеча для торта "Грань" золотая - цифра "0" 7,8 см</t>
  </si>
  <si>
    <t>№ 10539</t>
  </si>
  <si>
    <t>Свеча для торта "Грань" золотая - цифра "2" 7,8 см</t>
  </si>
  <si>
    <t>№ 10540</t>
  </si>
  <si>
    <t>Свеча для торта "Грань" золотая - цифра "3" 7,8 см</t>
  </si>
  <si>
    <t>№ 10541</t>
  </si>
  <si>
    <t>Свеча для торта "Грань" золотая - цифра "4" 7,8 см</t>
  </si>
  <si>
    <t>№ 10542</t>
  </si>
  <si>
    <t>Свеча для торта "Грань" золотая - цифра "5" 7,8 см</t>
  </si>
  <si>
    <t>№ 10543</t>
  </si>
  <si>
    <t>Свеча для торта "Грань" золотая - цифра "6" 7,8 см</t>
  </si>
  <si>
    <t>№ 10544</t>
  </si>
  <si>
    <t>Свеча для торта "Грань" золотая - цифра "7" 7,8 см</t>
  </si>
  <si>
    <t>№ 10546</t>
  </si>
  <si>
    <t>Свеча для торта "Грань" золотая - цифра "9" 7,8 см</t>
  </si>
  <si>
    <t>№ 10547</t>
  </si>
  <si>
    <t>Свеча для торта "Грань" серебряная - цифра "0" 7,8 см</t>
  </si>
  <si>
    <t>№ 10549</t>
  </si>
  <si>
    <t>Свеча для торта "Грань" серебряная - цифра "2" 7,8 см</t>
  </si>
  <si>
    <t>№ 10550</t>
  </si>
  <si>
    <t>Свеча для торта "Грань" серебряная - цифра "3" 7,8 см</t>
  </si>
  <si>
    <t>№ 10551</t>
  </si>
  <si>
    <t>Свеча для торта "Грань" серебряная - цифра "4" 7,8 см</t>
  </si>
  <si>
    <t>№ 10552</t>
  </si>
  <si>
    <t>Свеча для торта "Грань" серебряная - цифра "5" 7,8 см</t>
  </si>
  <si>
    <t>№ 10553</t>
  </si>
  <si>
    <t>Свеча для торта "Грань" серебряная - цифра "6" 7,8 см</t>
  </si>
  <si>
    <t>№ 10554</t>
  </si>
  <si>
    <t>Свеча для торта "Грань" серебряная - цифра "7" 7,8 см</t>
  </si>
  <si>
    <t>№ 10555</t>
  </si>
  <si>
    <t>Свеча для торта "Грань" серебряная - цифра "8" 7,8 см</t>
  </si>
  <si>
    <t>№ 10556</t>
  </si>
  <si>
    <t>Свеча для торта "Грань" серебряная - цифра "9" 7,8 см</t>
  </si>
  <si>
    <t>№ 8137</t>
  </si>
  <si>
    <t>Колпак красный новогодний (атласный)</t>
  </si>
  <si>
    <t>100/6/1</t>
  </si>
  <si>
    <t>№ 10441</t>
  </si>
  <si>
    <t>Свеча для торта "Грань" золотая - цифра "5" 9,5 см</t>
  </si>
  <si>
    <t>№ 10443</t>
  </si>
  <si>
    <t>Свеча для торта "Грань" золотая - цифра "4" 9,5 см</t>
  </si>
  <si>
    <t>№ 10444</t>
  </si>
  <si>
    <t>Свеча для торта "Грань" золотая - цифра "6" 9,5 см</t>
  </si>
  <si>
    <t>№ 10405</t>
  </si>
  <si>
    <t>Свеча для торта "Грань" золотая - цифра "7" 9,5 см</t>
  </si>
  <si>
    <t>№ 10408</t>
  </si>
  <si>
    <t>Свеча для торта "Грань" золотая - цифра "0" 9,5 см</t>
  </si>
  <si>
    <t>№ 10503</t>
  </si>
  <si>
    <t>Свеча для торта "Мороженое" бело-золотая - цифра "0"</t>
  </si>
  <si>
    <t>№ 10411</t>
  </si>
  <si>
    <t>Свеча для торта "Мороженое" бело-золотая - цифра "3"</t>
  </si>
  <si>
    <t>№ 10412</t>
  </si>
  <si>
    <t>Свеча для торта "Мороженое" бело-золотая - цифра "4"</t>
  </si>
  <si>
    <t>№ 10413</t>
  </si>
  <si>
    <t>Свеча для торта "Мороженое" бело-золотая - цифра "5"</t>
  </si>
  <si>
    <t>№ 10414</t>
  </si>
  <si>
    <t>Свеча для торта "Мороженое" бело-золотая - цифра "6"</t>
  </si>
  <si>
    <t>№ 10504</t>
  </si>
  <si>
    <t>Свеча для торта "Мороженое" бело-золотая - цифра "7"</t>
  </si>
  <si>
    <t>№ 10505</t>
  </si>
  <si>
    <t>Свеча для торта "Мороженое" бело-золотая - цифра "8"</t>
  </si>
  <si>
    <t>№ 10506</t>
  </si>
  <si>
    <t>Свеча для торта "Мороженое" бело-золотая - цифра "9"</t>
  </si>
  <si>
    <t>№ 3218</t>
  </si>
  <si>
    <t>Свеча для торта фигурная - цифра "4"</t>
  </si>
  <si>
    <t>1502-0143</t>
  </si>
  <si>
    <t>Веселая Затея</t>
  </si>
  <si>
    <t>24/12/1</t>
  </si>
  <si>
    <t>№ 3222</t>
  </si>
  <si>
    <t>Свеча для торта фигурная - цифра "8"</t>
  </si>
  <si>
    <t>1502-0151</t>
  </si>
  <si>
    <t>№ 3281</t>
  </si>
  <si>
    <t>Подставки для свечей (упаковка 12 шт.)</t>
  </si>
  <si>
    <t>1502-1120</t>
  </si>
  <si>
    <t>36/12/12</t>
  </si>
  <si>
    <t>№ 3758</t>
  </si>
  <si>
    <t>Свечи для торта "Блеск" с подставками (упаковка 10 шт.)</t>
  </si>
  <si>
    <t>1502-1153</t>
  </si>
  <si>
    <t>24/12/10</t>
  </si>
  <si>
    <t>№ 3743</t>
  </si>
  <si>
    <t>Свеча для торта Блеск - цифра "4"</t>
  </si>
  <si>
    <t>1502-1241</t>
  </si>
  <si>
    <t>Конфетти</t>
  </si>
  <si>
    <t>№ 10218</t>
  </si>
  <si>
    <t>Конфетти бумажное лепестки роз (красное)</t>
  </si>
  <si>
    <t>КБ-ЛР-К</t>
  </si>
  <si>
    <t>GLOBAL EFFECTS</t>
  </si>
  <si>
    <t>№ 10221</t>
  </si>
  <si>
    <t>Конфетти бумажное сердца (красное)</t>
  </si>
  <si>
    <t>КБ-СЦ-К</t>
  </si>
  <si>
    <t>№ 9014</t>
  </si>
  <si>
    <t>Конфетти металлизированное 17 х 55 мм (золото)</t>
  </si>
  <si>
    <t>КМ-1755-З</t>
  </si>
  <si>
    <t>Елочные гирлянды</t>
  </si>
  <si>
    <t>№ 9755</t>
  </si>
  <si>
    <t>Гирлянда елочная "Шарики льда" разноцветная 5м</t>
  </si>
  <si>
    <t>№ 9754</t>
  </si>
  <si>
    <t>Гирлянда елочная "Шишки сосновые" разноцветная 5м</t>
  </si>
  <si>
    <t>№ 9756</t>
  </si>
  <si>
    <t>Гирлянда елочная "Цветочки" разноцветная 5м</t>
  </si>
  <si>
    <t>Оборудование для спецэффектов</t>
  </si>
  <si>
    <t>№ 6113</t>
  </si>
  <si>
    <t>Одноразовый ствол для конфетти-пушки EEC01  40 см (пустой)</t>
  </si>
  <si>
    <t>EEC01</t>
  </si>
  <si>
    <t>№ 6114</t>
  </si>
  <si>
    <t>Одноразовый ствол для конфетти-пушки EEC02  80 см (пустой)</t>
  </si>
  <si>
    <t>EEC02</t>
  </si>
  <si>
    <t>КАК ЧИТАТЬ ФАСОВКУ: фасовка указана от большей тары к меньшей. Пример: 2/1 для фейерверка Русская Зима означает: минимальный заказ 1 шт., в транспортной коробке 2 шт.</t>
  </si>
  <si>
    <t>Если мин.ед.изм. = упаковка, то последняя цифра укажет кол-во штук в одной упаковке. Пример: 100/3 для петард Корсар-8 означает: в упаковке 3 шт., в коробке 100 упаковок.</t>
  </si>
  <si>
    <t>Если продажа идет блоками, то количество упаковок в блоке будет предпоследней цифрой. Пример: 20/12/60 для петард Корсар-1 означает: в упаковке 60 шт., в блоке 12 упаковок, в коробке 20 блоков.</t>
  </si>
  <si>
    <t>Скидки на весь ассортимент расчитываются индивидуально!</t>
  </si>
</sst>
</file>

<file path=xl/styles.xml><?xml version="1.0" encoding="utf-8"?>
<styleSheet xmlns="http://schemas.openxmlformats.org/spreadsheetml/2006/main" xml:space="preserve">
  <numFmts count="0"/>
  <fonts count="21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1"/>
      <i val="0"/>
      <strike val="0"/>
      <u val="none"/>
      <sz val="2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14"/>
      <color rgb="FFFF0000"/>
      <name val="Calibri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single"/>
      <sz val="11"/>
      <color rgb="FF00008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26"/>
      <color rgb="FFFF0000"/>
      <name val="Calibri"/>
    </font>
    <font>
      <b val="1"/>
      <i val="0"/>
      <strike val="0"/>
      <u val="none"/>
      <sz val="12"/>
      <color rgb="FF800000"/>
      <name val="Calibri"/>
    </font>
    <font>
      <b val="1"/>
      <i val="0"/>
      <strike val="0"/>
      <u val="none"/>
      <sz val="12"/>
      <color rgb="FF008000"/>
      <name val="Calibri"/>
    </font>
    <font>
      <b val="0"/>
      <i val="0"/>
      <strike val="0"/>
      <u val="single"/>
      <sz val="10"/>
      <color rgb="FF00008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0"/>
      <color rgb="FF555555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d50000"/>
      <name val="Calibri"/>
    </font>
    <font>
      <b val="0"/>
      <i val="0"/>
      <strike val="0"/>
      <u val="none"/>
      <sz val="11"/>
      <color rgb="FF800000"/>
      <name val="Calibri"/>
    </font>
    <font>
      <b val="0"/>
      <i val="0"/>
      <strike val="0"/>
      <u val="none"/>
      <sz val="11"/>
      <color rgb="FF003300"/>
      <name val="Calibri"/>
    </font>
    <font>
      <b val="1"/>
      <i val="0"/>
      <strike val="0"/>
      <u val="single"/>
      <sz val="16"/>
      <color rgb="FF000000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66FF66"/>
        <bgColor rgb="FF000000"/>
      </patternFill>
    </fill>
    <fill>
      <patternFill patternType="solid">
        <fgColor rgb="FFFFC64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C00"/>
        <bgColor rgb="FF000000"/>
      </patternFill>
    </fill>
  </fills>
  <borders count="6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2" numFmtId="0" fillId="4" borderId="1" applyFont="1" applyNumberFormat="0" applyFill="1" applyBorder="1" applyAlignment="1">
      <alignment horizontal="general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0" borderId="0" applyFont="1" applyNumberFormat="0" applyFill="0" applyBorder="0" applyAlignment="1">
      <alignment horizontal="lef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top" textRotation="0" wrapText="false" shrinkToFit="false"/>
    </xf>
    <xf xfId="0" fontId="6" numFmtId="0" fillId="0" borderId="0" applyFont="1" applyNumberFormat="0" applyFill="0" applyBorder="0" applyAlignment="1">
      <alignment horizontal="left" vertical="top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false" shrinkToFit="false"/>
    </xf>
    <xf xfId="0" fontId="7" numFmtId="0" fillId="0" borderId="0" applyFont="1" applyNumberFormat="0" applyFill="0" applyBorder="0" applyAlignment="1">
      <alignment horizontal="left" vertical="top" textRotation="0" wrapText="false" shrinkToFit="false"/>
    </xf>
    <xf xfId="0" fontId="8" numFmtId="0" fillId="0" borderId="0" applyFont="1" applyNumberFormat="0" applyFill="0" applyBorder="0" applyAlignment="1">
      <alignment horizontal="left" vertical="top" textRotation="0" wrapText="false" shrinkToFit="false"/>
    </xf>
    <xf xfId="0" fontId="9" numFmtId="0" fillId="0" borderId="0" applyFont="1" applyNumberFormat="0" applyFill="0" applyBorder="0" applyAlignment="1">
      <alignment horizontal="right" vertical="center" textRotation="0" wrapText="false" shrinkToFit="false"/>
    </xf>
    <xf xfId="0" fontId="10" numFmtId="0" fillId="0" borderId="0" applyFont="1" applyNumberFormat="0" applyFill="0" applyBorder="0" applyAlignment="1">
      <alignment horizontal="center" vertical="center" textRotation="0" wrapText="false" shrinkToFit="false"/>
    </xf>
    <xf xfId="0" fontId="11" numFmtId="0" fillId="5" borderId="2" applyFont="1" applyNumberFormat="0" applyFill="1" applyBorder="1" applyAlignment="1">
      <alignment horizontal="left" vertical="center" textRotation="0" wrapText="false" shrinkToFit="false"/>
    </xf>
    <xf xfId="0" fontId="12" numFmtId="0" fillId="6" borderId="0" applyFont="1" applyNumberFormat="0" applyFill="1" applyBorder="0" applyAlignment="1">
      <alignment horizontal="center" vertical="center" textRotation="0" wrapText="false" shrinkToFit="false"/>
    </xf>
    <xf xfId="0" fontId="13" numFmtId="0" fillId="0" borderId="0" applyFont="1" applyNumberFormat="0" applyFill="0" applyBorder="0" applyAlignment="1">
      <alignment horizontal="center" vertical="bottom" textRotation="0" wrapText="false" shrinkToFit="false"/>
    </xf>
    <xf xfId="0" fontId="14" numFmtId="0" fillId="0" borderId="0" applyFont="1" applyNumberFormat="0" applyFill="0" applyBorder="0" applyAlignment="1">
      <alignment horizontal="left" vertical="bottom" textRotation="0" wrapText="false" shrinkToFit="false"/>
    </xf>
    <xf xfId="0" fontId="13" numFmtId="0" fillId="0" borderId="0" applyFont="1" applyNumberFormat="0" applyFill="0" applyBorder="0" applyAlignment="1">
      <alignment horizontal="left" vertical="bottom" textRotation="0" wrapText="false" shrinkToFit="false"/>
    </xf>
    <xf xfId="0" fontId="15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center" textRotation="0" wrapText="false" shrinkToFit="false"/>
    </xf>
    <xf xfId="0" fontId="17" numFmtId="0" fillId="5" borderId="0" applyFont="1" applyNumberFormat="0" applyFill="1" applyBorder="0" applyAlignment="1">
      <alignment horizontal="left" vertical="bottom" textRotation="0" wrapText="false" shrinkToFit="false"/>
    </xf>
    <xf xfId="0" fontId="18" numFmtId="0" fillId="2" borderId="3" applyFont="1" applyNumberFormat="0" applyFill="1" applyBorder="1" applyAlignment="1">
      <alignment horizontal="left" vertical="top" textRotation="0" wrapText="true" shrinkToFit="false"/>
    </xf>
    <xf xfId="0" fontId="18" numFmtId="0" fillId="2" borderId="4" applyFont="1" applyNumberFormat="0" applyFill="1" applyBorder="1" applyAlignment="1">
      <alignment horizontal="left" vertical="top" textRotation="0" wrapText="true" shrinkToFit="false"/>
    </xf>
    <xf xfId="0" fontId="18" numFmtId="0" fillId="2" borderId="5" applyFont="1" applyNumberFormat="0" applyFill="1" applyBorder="1" applyAlignment="1">
      <alignment horizontal="left" vertical="top" textRotation="0" wrapText="true" shrinkToFit="false"/>
    </xf>
    <xf xfId="0" fontId="19" numFmtId="0" fillId="2" borderId="3" applyFont="1" applyNumberFormat="0" applyFill="1" applyBorder="1" applyAlignment="1">
      <alignment horizontal="left" vertical="top" textRotation="0" wrapText="true" shrinkToFit="false"/>
    </xf>
    <xf xfId="0" fontId="19" numFmtId="0" fillId="2" borderId="4" applyFont="1" applyNumberFormat="0" applyFill="1" applyBorder="1" applyAlignment="1">
      <alignment horizontal="left" vertical="top" textRotation="0" wrapText="true" shrinkToFit="false"/>
    </xf>
    <xf xfId="0" fontId="19" numFmtId="0" fillId="2" borderId="5" applyFont="1" applyNumberFormat="0" applyFill="1" applyBorder="1" applyAlignment="1">
      <alignment horizontal="left" vertical="top" textRotation="0" wrapText="true" shrinkToFit="false"/>
    </xf>
    <xf xfId="0" fontId="20" numFmtId="0" fillId="7" borderId="0" applyFont="1" applyNumberFormat="0" applyFill="1" applyBorder="0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excel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57150</xdr:rowOff>
    </xdr:from>
    <xdr:ext cx="2781300" cy="1076325"/>
    <xdr:pic>
      <xdr:nvPicPr>
        <xdr:cNvPr id="1" name="Интернет-магазин фейерверков ББ-Салют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info@bb-salut.ru" TargetMode="External"/><Relationship Id="rId_hyperlink_2" Type="http://schemas.openxmlformats.org/officeDocument/2006/relationships/hyperlink" Target="https://www.bb-salut.ru" TargetMode="External"/><Relationship Id="rId_hyperlink_3" Type="http://schemas.openxmlformats.org/officeDocument/2006/relationships/hyperlink" Target="https://www.bb-salut.ru/feierverki-karacharovskaya" TargetMode="External"/><Relationship Id="rId_hyperlink_4" Type="http://schemas.openxmlformats.org/officeDocument/2006/relationships/hyperlink" Target="https://www.bb-salut.ru/product/fejerverk-fontan-p6710-shkiper" TargetMode="External"/><Relationship Id="rId_hyperlink_5" Type="http://schemas.openxmlformats.org/officeDocument/2006/relationships/hyperlink" Target="https://www.youtube.com/watch?v=acHZYHxxqIU" TargetMode="External"/><Relationship Id="rId_hyperlink_6" Type="http://schemas.openxmlformats.org/officeDocument/2006/relationships/hyperlink" Target="https://www.bb-salut.ru/product/fejerverk-fontan-r6720-salyut-prokaznik" TargetMode="External"/><Relationship Id="rId_hyperlink_7" Type="http://schemas.openxmlformats.org/officeDocument/2006/relationships/hyperlink" Target="https://www.youtube.com/watch?v=Wsb0sNp1Wwg" TargetMode="External"/><Relationship Id="rId_hyperlink_8" Type="http://schemas.openxmlformats.org/officeDocument/2006/relationships/hyperlink" Target="https://www.bb-salut.ru/product/fejerverk-fontan-p6736-vinni-buh" TargetMode="External"/><Relationship Id="rId_hyperlink_9" Type="http://schemas.openxmlformats.org/officeDocument/2006/relationships/hyperlink" Target="https://www.youtube.com/watch?v=wdaiAG6VKE8" TargetMode="External"/><Relationship Id="rId_hyperlink_10" Type="http://schemas.openxmlformats.org/officeDocument/2006/relationships/hyperlink" Target="https://www.bb-salut.ru/product/fejeverk-fontan-p6805-krug-sveta" TargetMode="External"/><Relationship Id="rId_hyperlink_11" Type="http://schemas.openxmlformats.org/officeDocument/2006/relationships/hyperlink" Target="https://www.youtube.com/watch?v=J3joHSnffXQ" TargetMode="External"/><Relationship Id="rId_hyperlink_12" Type="http://schemas.openxmlformats.org/officeDocument/2006/relationships/hyperlink" Target="https://www.bb-salut.ru/product/fejerverk-p7017-shah-i-mat" TargetMode="External"/><Relationship Id="rId_hyperlink_13" Type="http://schemas.openxmlformats.org/officeDocument/2006/relationships/hyperlink" Target="https://www.youtube.com/watch?v=ceYNfi7JdZY" TargetMode="External"/><Relationship Id="rId_hyperlink_14" Type="http://schemas.openxmlformats.org/officeDocument/2006/relationships/hyperlink" Target="https://www.bb-salut.ru/product/fejeverk-p7020-malibu" TargetMode="External"/><Relationship Id="rId_hyperlink_15" Type="http://schemas.openxmlformats.org/officeDocument/2006/relationships/hyperlink" Target="https://www.youtube.com/watch?v=KWRLKeNfYNo" TargetMode="External"/><Relationship Id="rId_hyperlink_16" Type="http://schemas.openxmlformats.org/officeDocument/2006/relationships/hyperlink" Target="https://www.bb-salut.ru/product/fejerverk-r7022-lajkni-menya" TargetMode="External"/><Relationship Id="rId_hyperlink_17" Type="http://schemas.openxmlformats.org/officeDocument/2006/relationships/hyperlink" Target="https://www.youtube.com/watch?v=I8GSpFjTaKI" TargetMode="External"/><Relationship Id="rId_hyperlink_18" Type="http://schemas.openxmlformats.org/officeDocument/2006/relationships/hyperlink" Target="https://www.bb-salut.ru/product/fejerverk-p7026-salyut-bar" TargetMode="External"/><Relationship Id="rId_hyperlink_19" Type="http://schemas.openxmlformats.org/officeDocument/2006/relationships/hyperlink" Target="https://www.youtube.com/watch?v=nf8HI40BZ-g" TargetMode="External"/><Relationship Id="rId_hyperlink_20" Type="http://schemas.openxmlformats.org/officeDocument/2006/relationships/hyperlink" Target="https://www.bb-salut.ru/product/fejerverk-p7033-novogodius" TargetMode="External"/><Relationship Id="rId_hyperlink_21" Type="http://schemas.openxmlformats.org/officeDocument/2006/relationships/hyperlink" Target="https://www.youtube.com/watch?v=7JpTCoLSEfI" TargetMode="External"/><Relationship Id="rId_hyperlink_22" Type="http://schemas.openxmlformats.org/officeDocument/2006/relationships/hyperlink" Target="https://www.bb-salut.ru/product/fejerverk-r7036-bah-stori" TargetMode="External"/><Relationship Id="rId_hyperlink_23" Type="http://schemas.openxmlformats.org/officeDocument/2006/relationships/hyperlink" Target="https://www.youtube.com/watch?v=zpB-CppHgWo" TargetMode="External"/><Relationship Id="rId_hyperlink_24" Type="http://schemas.openxmlformats.org/officeDocument/2006/relationships/hyperlink" Target="https://www.bb-salut.ru/product/fejerverk-p7039-plohie-parni" TargetMode="External"/><Relationship Id="rId_hyperlink_25" Type="http://schemas.openxmlformats.org/officeDocument/2006/relationships/hyperlink" Target="https://www.youtube.com/watch?v=3wWk0RdBVsk" TargetMode="External"/><Relationship Id="rId_hyperlink_26" Type="http://schemas.openxmlformats.org/officeDocument/2006/relationships/hyperlink" Target="https://www.bb-salut.ru/product/fejerverk-r7046-bumboks" TargetMode="External"/><Relationship Id="rId_hyperlink_27" Type="http://schemas.openxmlformats.org/officeDocument/2006/relationships/hyperlink" Target="https://www.youtube.com/watch?v=VdKAepWgjjo" TargetMode="External"/><Relationship Id="rId_hyperlink_28" Type="http://schemas.openxmlformats.org/officeDocument/2006/relationships/hyperlink" Target="https://www.bb-salut.ru/product/fejerverk-p7067-strekoza" TargetMode="External"/><Relationship Id="rId_hyperlink_29" Type="http://schemas.openxmlformats.org/officeDocument/2006/relationships/hyperlink" Target="https://www.youtube.com/watch?v=ev4oP8fyi8k" TargetMode="External"/><Relationship Id="rId_hyperlink_30" Type="http://schemas.openxmlformats.org/officeDocument/2006/relationships/hyperlink" Target="https://www.bb-salut.ru/product/fejerverk-r7212-snegovoj" TargetMode="External"/><Relationship Id="rId_hyperlink_31" Type="http://schemas.openxmlformats.org/officeDocument/2006/relationships/hyperlink" Target="https://www.youtube.com/watch?v=2ul3alAN8Zo" TargetMode="External"/><Relationship Id="rId_hyperlink_32" Type="http://schemas.openxmlformats.org/officeDocument/2006/relationships/hyperlink" Target="https://www.bb-salut.ru/product/fejerverk-p7216-pod-shashlychok" TargetMode="External"/><Relationship Id="rId_hyperlink_33" Type="http://schemas.openxmlformats.org/officeDocument/2006/relationships/hyperlink" Target="https://www.youtube.com/watch?v=_FAN9C11tnA" TargetMode="External"/><Relationship Id="rId_hyperlink_34" Type="http://schemas.openxmlformats.org/officeDocument/2006/relationships/hyperlink" Target="https://www.bb-salut.ru/product/fejerverk-r7224-shchelkunchik" TargetMode="External"/><Relationship Id="rId_hyperlink_35" Type="http://schemas.openxmlformats.org/officeDocument/2006/relationships/hyperlink" Target="https://www.youtube.com/watch?v=49pGUCMoi-0" TargetMode="External"/><Relationship Id="rId_hyperlink_36" Type="http://schemas.openxmlformats.org/officeDocument/2006/relationships/hyperlink" Target="https://www.bb-salut.ru/product/fejerverk-r7230-va-bank" TargetMode="External"/><Relationship Id="rId_hyperlink_37" Type="http://schemas.openxmlformats.org/officeDocument/2006/relationships/hyperlink" Target="https://www.youtube.com/watch?v=K_MR-hojKEk" TargetMode="External"/><Relationship Id="rId_hyperlink_38" Type="http://schemas.openxmlformats.org/officeDocument/2006/relationships/hyperlink" Target="https://www.bb-salut.ru/product/fejerverk-r7250-bamboleo" TargetMode="External"/><Relationship Id="rId_hyperlink_39" Type="http://schemas.openxmlformats.org/officeDocument/2006/relationships/hyperlink" Target="https://www.bb-salut.ru/product/fejerverk-p7281-krendel" TargetMode="External"/><Relationship Id="rId_hyperlink_40" Type="http://schemas.openxmlformats.org/officeDocument/2006/relationships/hyperlink" Target="https://www.youtube.com/watch?v=6kkX0ACfr0M" TargetMode="External"/><Relationship Id="rId_hyperlink_41" Type="http://schemas.openxmlformats.org/officeDocument/2006/relationships/hyperlink" Target="https://www.bb-salut.ru/product/fejerverk-p7291-s-dr" TargetMode="External"/><Relationship Id="rId_hyperlink_42" Type="http://schemas.openxmlformats.org/officeDocument/2006/relationships/hyperlink" Target="https://www.youtube.com/watch?v=gWvtJ0xtxEg" TargetMode="External"/><Relationship Id="rId_hyperlink_43" Type="http://schemas.openxmlformats.org/officeDocument/2006/relationships/hyperlink" Target="https://www.bb-salut.ru/product/fejerverk-r7294-krutye-percy" TargetMode="External"/><Relationship Id="rId_hyperlink_44" Type="http://schemas.openxmlformats.org/officeDocument/2006/relationships/hyperlink" Target="https://www.youtube.com/watch?v=suF115WbqSw" TargetMode="External"/><Relationship Id="rId_hyperlink_45" Type="http://schemas.openxmlformats.org/officeDocument/2006/relationships/hyperlink" Target="https://www.bb-salut.ru/product/fejeverk-p7302-zhar-ptitsa" TargetMode="External"/><Relationship Id="rId_hyperlink_46" Type="http://schemas.openxmlformats.org/officeDocument/2006/relationships/hyperlink" Target="https://www.youtube.com/watch?v=8bkO-jfHcbg" TargetMode="External"/><Relationship Id="rId_hyperlink_47" Type="http://schemas.openxmlformats.org/officeDocument/2006/relationships/hyperlink" Target="https://www.bb-salut.ru/product/fejerverk-r7314-sombrero" TargetMode="External"/><Relationship Id="rId_hyperlink_48" Type="http://schemas.openxmlformats.org/officeDocument/2006/relationships/hyperlink" Target="https://www.youtube.com/watch?v=StpJC_E3q2c" TargetMode="External"/><Relationship Id="rId_hyperlink_49" Type="http://schemas.openxmlformats.org/officeDocument/2006/relationships/hyperlink" Target="https://www.bb-salut.ru/product/fejerverk-p7322-poekhali" TargetMode="External"/><Relationship Id="rId_hyperlink_50" Type="http://schemas.openxmlformats.org/officeDocument/2006/relationships/hyperlink" Target="https://www.youtube.com/watch?v=OhFLhbNd0b8" TargetMode="External"/><Relationship Id="rId_hyperlink_51" Type="http://schemas.openxmlformats.org/officeDocument/2006/relationships/hyperlink" Target="https://www.bb-salut.ru/product/fejerverk-r7328-teremok" TargetMode="External"/><Relationship Id="rId_hyperlink_52" Type="http://schemas.openxmlformats.org/officeDocument/2006/relationships/hyperlink" Target="https://www.youtube.com/watch?v=bgPYbWKq9u4" TargetMode="External"/><Relationship Id="rId_hyperlink_53" Type="http://schemas.openxmlformats.org/officeDocument/2006/relationships/hyperlink" Target="https://www.bb-salut.ru/product/fejeverk-p7333-dari-radost" TargetMode="External"/><Relationship Id="rId_hyperlink_54" Type="http://schemas.openxmlformats.org/officeDocument/2006/relationships/hyperlink" Target="https://www.youtube.com/watch?v=LRKLns5_Aeg" TargetMode="External"/><Relationship Id="rId_hyperlink_55" Type="http://schemas.openxmlformats.org/officeDocument/2006/relationships/hyperlink" Target="https://www.bb-salut.ru/product/fejerverk-r7337-fruktovyj-miks" TargetMode="External"/><Relationship Id="rId_hyperlink_56" Type="http://schemas.openxmlformats.org/officeDocument/2006/relationships/hyperlink" Target="https://www.bb-salut.ru/product/fejerverk-r7341-yarkij-i-zharkij" TargetMode="External"/><Relationship Id="rId_hyperlink_57" Type="http://schemas.openxmlformats.org/officeDocument/2006/relationships/hyperlink" Target="https://www.bb-salut.ru/product/fejerverk-r7344-tancuyut-vse" TargetMode="External"/><Relationship Id="rId_hyperlink_58" Type="http://schemas.openxmlformats.org/officeDocument/2006/relationships/hyperlink" Target="https://www.bb-salut.ru/product/fejerverk-r7351-salat-podozhdyot" TargetMode="External"/><Relationship Id="rId_hyperlink_59" Type="http://schemas.openxmlformats.org/officeDocument/2006/relationships/hyperlink" Target="https://www.bb-salut.ru/product/fejerverk-r7355-vmeste-veselee" TargetMode="External"/><Relationship Id="rId_hyperlink_60" Type="http://schemas.openxmlformats.org/officeDocument/2006/relationships/hyperlink" Target="https://www.bb-salut.ru/product/fejerverk-r7362-novyj-god-shagaet" TargetMode="External"/><Relationship Id="rId_hyperlink_61" Type="http://schemas.openxmlformats.org/officeDocument/2006/relationships/hyperlink" Target="https://www.youtube.com/watch?v=vtHYGZiwDgM" TargetMode="External"/><Relationship Id="rId_hyperlink_62" Type="http://schemas.openxmlformats.org/officeDocument/2006/relationships/hyperlink" Target="https://www.bb-salut.ru/product/fejerverk-r7461-oliveri" TargetMode="External"/><Relationship Id="rId_hyperlink_63" Type="http://schemas.openxmlformats.org/officeDocument/2006/relationships/hyperlink" Target="https://www.youtube.com/watch?v=OZQ8jafh9M4" TargetMode="External"/><Relationship Id="rId_hyperlink_64" Type="http://schemas.openxmlformats.org/officeDocument/2006/relationships/hyperlink" Target="https://www.bb-salut.ru/product/r7491-snezhnyj-bars-1-h-25" TargetMode="External"/><Relationship Id="rId_hyperlink_65" Type="http://schemas.openxmlformats.org/officeDocument/2006/relationships/hyperlink" Target="https://www.youtube.com/watch?v=SGo2NsjZ0sY" TargetMode="External"/><Relationship Id="rId_hyperlink_66" Type="http://schemas.openxmlformats.org/officeDocument/2006/relationships/hyperlink" Target="https://www.bb-salut.ru/product/fejerverk-r7492-snegurochka" TargetMode="External"/><Relationship Id="rId_hyperlink_67" Type="http://schemas.openxmlformats.org/officeDocument/2006/relationships/hyperlink" Target="https://www.youtube.com/watch?v=_TEInSChWM8" TargetMode="External"/><Relationship Id="rId_hyperlink_68" Type="http://schemas.openxmlformats.org/officeDocument/2006/relationships/hyperlink" Target="https://www.bb-salut.ru/product/fejerverk-r7498-komandir" TargetMode="External"/><Relationship Id="rId_hyperlink_69" Type="http://schemas.openxmlformats.org/officeDocument/2006/relationships/hyperlink" Target="https://www.youtube.com/watch?v=yqFNw9eXAXo" TargetMode="External"/><Relationship Id="rId_hyperlink_70" Type="http://schemas.openxmlformats.org/officeDocument/2006/relationships/hyperlink" Target="https://www.bb-salut.ru/product/fejeverk-p7500-amigos" TargetMode="External"/><Relationship Id="rId_hyperlink_71" Type="http://schemas.openxmlformats.org/officeDocument/2006/relationships/hyperlink" Target="https://www.youtube.com/watch?v=RciJp3Ci3yg" TargetMode="External"/><Relationship Id="rId_hyperlink_72" Type="http://schemas.openxmlformats.org/officeDocument/2006/relationships/hyperlink" Target="https://www.bb-salut.ru/product/fejerverk-r7501-tresk-i-blesk" TargetMode="External"/><Relationship Id="rId_hyperlink_73" Type="http://schemas.openxmlformats.org/officeDocument/2006/relationships/hyperlink" Target="https://www.youtube.com/watch?v=_w4t95WRsxs" TargetMode="External"/><Relationship Id="rId_hyperlink_74" Type="http://schemas.openxmlformats.org/officeDocument/2006/relationships/hyperlink" Target="https://www.bb-salut.ru/product/fejerverk-r7502-vivat-salyut" TargetMode="External"/><Relationship Id="rId_hyperlink_75" Type="http://schemas.openxmlformats.org/officeDocument/2006/relationships/hyperlink" Target="https://www.youtube.com/watch?v=hSm8G3dxGRQ" TargetMode="External"/><Relationship Id="rId_hyperlink_76" Type="http://schemas.openxmlformats.org/officeDocument/2006/relationships/hyperlink" Target="https://www.bb-salut.ru/product/fejerverk-r7504-meshok-podarkov" TargetMode="External"/><Relationship Id="rId_hyperlink_77" Type="http://schemas.openxmlformats.org/officeDocument/2006/relationships/hyperlink" Target="https://www.bb-salut.ru/product/fejerverk-r7530-iskander" TargetMode="External"/><Relationship Id="rId_hyperlink_78" Type="http://schemas.openxmlformats.org/officeDocument/2006/relationships/hyperlink" Target="https://www.youtube.com/watch?v=mNDWLDtg1tk" TargetMode="External"/><Relationship Id="rId_hyperlink_79" Type="http://schemas.openxmlformats.org/officeDocument/2006/relationships/hyperlink" Target="https://www.bb-salut.ru/product/fejerverk-r7540-ehkspediciya" TargetMode="External"/><Relationship Id="rId_hyperlink_80" Type="http://schemas.openxmlformats.org/officeDocument/2006/relationships/hyperlink" Target="https://www.youtube.com/watch?v=wWST51oaUsg" TargetMode="External"/><Relationship Id="rId_hyperlink_81" Type="http://schemas.openxmlformats.org/officeDocument/2006/relationships/hyperlink" Target="https://www.bb-salut.ru/product/fejerverk-pm702-u-dachi" TargetMode="External"/><Relationship Id="rId_hyperlink_82" Type="http://schemas.openxmlformats.org/officeDocument/2006/relationships/hyperlink" Target="https://www.youtube.com/watch?v=eXTNa2e7LWg" TargetMode="External"/><Relationship Id="rId_hyperlink_83" Type="http://schemas.openxmlformats.org/officeDocument/2006/relationships/hyperlink" Target="https://www.bb-salut.ru/product/fejerverk-r7598-tik-tak" TargetMode="External"/><Relationship Id="rId_hyperlink_84" Type="http://schemas.openxmlformats.org/officeDocument/2006/relationships/hyperlink" Target="https://www.youtube.com/watch?v=iDAauGqDc8g" TargetMode="External"/><Relationship Id="rId_hyperlink_85" Type="http://schemas.openxmlformats.org/officeDocument/2006/relationships/hyperlink" Target="https://www.bb-salut.ru/product/fejerverk-r7740-s-ng" TargetMode="External"/><Relationship Id="rId_hyperlink_86" Type="http://schemas.openxmlformats.org/officeDocument/2006/relationships/hyperlink" Target="https://www.youtube.com/watch?v=z3K6CFvgkJU" TargetMode="External"/><Relationship Id="rId_hyperlink_87" Type="http://schemas.openxmlformats.org/officeDocument/2006/relationships/hyperlink" Target="https://www.bb-salut.ru/product/fejerverk-r7830-moroz-voevoda" TargetMode="External"/><Relationship Id="rId_hyperlink_88" Type="http://schemas.openxmlformats.org/officeDocument/2006/relationships/hyperlink" Target="https://www.youtube.com/watch?v=7_8EO9XAhFs" TargetMode="External"/><Relationship Id="rId_hyperlink_89" Type="http://schemas.openxmlformats.org/officeDocument/2006/relationships/hyperlink" Target="https://www.bb-salut.ru/product/fejerverk-r7926-boss" TargetMode="External"/><Relationship Id="rId_hyperlink_90" Type="http://schemas.openxmlformats.org/officeDocument/2006/relationships/hyperlink" Target="https://www.youtube.com/watch?v=s4gAAiWk8Xw" TargetMode="External"/><Relationship Id="rId_hyperlink_91" Type="http://schemas.openxmlformats.org/officeDocument/2006/relationships/hyperlink" Target="https://www.bb-salut.ru/product/fejerverk-r8164-super-i-tochka" TargetMode="External"/><Relationship Id="rId_hyperlink_92" Type="http://schemas.openxmlformats.org/officeDocument/2006/relationships/hyperlink" Target="https://www.youtube.com/watch?v=QJL6MVgGT7w" TargetMode="External"/><Relationship Id="rId_hyperlink_93" Type="http://schemas.openxmlformats.org/officeDocument/2006/relationships/hyperlink" Target="https://www.bb-salut.ru/product/fejerverk-r8278-vot-ehto-veshch" TargetMode="External"/><Relationship Id="rId_hyperlink_94" Type="http://schemas.openxmlformats.org/officeDocument/2006/relationships/hyperlink" Target="https://www.youtube.com/watch?v=xNVShgIb-fM" TargetMode="External"/><Relationship Id="rId_hyperlink_95" Type="http://schemas.openxmlformats.org/officeDocument/2006/relationships/hyperlink" Target="https://www.bb-salut.ru/product/fejerverk-r8294-ogni-rossii" TargetMode="External"/><Relationship Id="rId_hyperlink_96" Type="http://schemas.openxmlformats.org/officeDocument/2006/relationships/hyperlink" Target="https://www.youtube.com/watch?v=PzQkoA5mxNg" TargetMode="External"/><Relationship Id="rId_hyperlink_97" Type="http://schemas.openxmlformats.org/officeDocument/2006/relationships/hyperlink" Target="https://www.bb-salut.ru/product/fejerverk-p8452-derzkaya-roskosh" TargetMode="External"/><Relationship Id="rId_hyperlink_98" Type="http://schemas.openxmlformats.org/officeDocument/2006/relationships/hyperlink" Target="https://www.youtube.com/watch?v=AmNxZaGNwdw" TargetMode="External"/><Relationship Id="rId_hyperlink_99" Type="http://schemas.openxmlformats.org/officeDocument/2006/relationships/hyperlink" Target="https://www.bb-salut.ru/product/fejerverk-r8477-zolotoj-rezerv" TargetMode="External"/><Relationship Id="rId_hyperlink_100" Type="http://schemas.openxmlformats.org/officeDocument/2006/relationships/hyperlink" Target="https://www.bb-salut.ru/product/fejerverk-r8479-zagadaj-zhelanie" TargetMode="External"/><Relationship Id="rId_hyperlink_101" Type="http://schemas.openxmlformats.org/officeDocument/2006/relationships/hyperlink" Target="https://www.bb-salut.ru/product/fejerverk-p8631-siyanie-severa" TargetMode="External"/><Relationship Id="rId_hyperlink_102" Type="http://schemas.openxmlformats.org/officeDocument/2006/relationships/hyperlink" Target="https://www.youtube.com/watch?v=6LPCKlOh3Uw" TargetMode="External"/><Relationship Id="rId_hyperlink_103" Type="http://schemas.openxmlformats.org/officeDocument/2006/relationships/hyperlink" Target="https://www.bb-salut.ru/product/fejerverk-r8641-gromoverzhec" TargetMode="External"/><Relationship Id="rId_hyperlink_104" Type="http://schemas.openxmlformats.org/officeDocument/2006/relationships/hyperlink" Target="https://www.youtube.com/watch?v=QX--ibIk0_s" TargetMode="External"/><Relationship Id="rId_hyperlink_105" Type="http://schemas.openxmlformats.org/officeDocument/2006/relationships/hyperlink" Target="https://www.bb-salut.ru/product/fejerverk-fontan-rs2568-kosmopoliten" TargetMode="External"/><Relationship Id="rId_hyperlink_106" Type="http://schemas.openxmlformats.org/officeDocument/2006/relationships/hyperlink" Target="https://www.youtube.com/watch?v=2B7FWyeUej4" TargetMode="External"/><Relationship Id="rId_hyperlink_107" Type="http://schemas.openxmlformats.org/officeDocument/2006/relationships/hyperlink" Target="https://www.bb-salut.ru/product/rs2820-operaciya-novyj-god" TargetMode="External"/><Relationship Id="rId_hyperlink_108" Type="http://schemas.openxmlformats.org/officeDocument/2006/relationships/hyperlink" Target="https://www.youtube.com/watch?v=lHDROxLR2co" TargetMode="External"/><Relationship Id="rId_hyperlink_109" Type="http://schemas.openxmlformats.org/officeDocument/2006/relationships/hyperlink" Target="https://www.bb-salut.ru/product/fejerverk-rs6012-tri-kota" TargetMode="External"/><Relationship Id="rId_hyperlink_110" Type="http://schemas.openxmlformats.org/officeDocument/2006/relationships/hyperlink" Target="https://www.youtube.com/watch?v=nusFSNYzzDQ" TargetMode="External"/><Relationship Id="rId_hyperlink_111" Type="http://schemas.openxmlformats.org/officeDocument/2006/relationships/hyperlink" Target="https://www.bb-salut.ru/product/fejerverk-rs6059-podruzhki-hohotushki" TargetMode="External"/><Relationship Id="rId_hyperlink_112" Type="http://schemas.openxmlformats.org/officeDocument/2006/relationships/hyperlink" Target="https://www.youtube.com/watch?v=SjVlETyEQwI" TargetMode="External"/><Relationship Id="rId_hyperlink_113" Type="http://schemas.openxmlformats.org/officeDocument/2006/relationships/hyperlink" Target="https://www.bb-salut.ru/product/fejerverk-rs6075-novogodnyaya-vecherinka" TargetMode="External"/><Relationship Id="rId_hyperlink_114" Type="http://schemas.openxmlformats.org/officeDocument/2006/relationships/hyperlink" Target="https://www.youtube.com/watch?v=LIHQpBWDgmQ" TargetMode="External"/><Relationship Id="rId_hyperlink_115" Type="http://schemas.openxmlformats.org/officeDocument/2006/relationships/hyperlink" Target="https://www.bb-salut.ru/product/fejerverk-rs6120-lesovichok" TargetMode="External"/><Relationship Id="rId_hyperlink_116" Type="http://schemas.openxmlformats.org/officeDocument/2006/relationships/hyperlink" Target="https://www.youtube.com/watch?v=ci2bp9wteWo" TargetMode="External"/><Relationship Id="rId_hyperlink_117" Type="http://schemas.openxmlformats.org/officeDocument/2006/relationships/hyperlink" Target="https://www.bb-salut.ru/product/fejerverk-rs6130-chuvachok-2018" TargetMode="External"/><Relationship Id="rId_hyperlink_118" Type="http://schemas.openxmlformats.org/officeDocument/2006/relationships/hyperlink" Target="https://www.youtube.com/watch?v=hOwne8sn22Y" TargetMode="External"/><Relationship Id="rId_hyperlink_119" Type="http://schemas.openxmlformats.org/officeDocument/2006/relationships/hyperlink" Target="https://www.bb-salut.ru/product/fejerverk-rs6136-piro-kvest" TargetMode="External"/><Relationship Id="rId_hyperlink_120" Type="http://schemas.openxmlformats.org/officeDocument/2006/relationships/hyperlink" Target="https://www.youtube.com/watch?v=ZXG88vwyJ6k" TargetMode="External"/><Relationship Id="rId_hyperlink_121" Type="http://schemas.openxmlformats.org/officeDocument/2006/relationships/hyperlink" Target="https://www.bb-salut.ru/product/fejerverk-rs6250-vesyolyj-pirotekhnik-2018" TargetMode="External"/><Relationship Id="rId_hyperlink_122" Type="http://schemas.openxmlformats.org/officeDocument/2006/relationships/hyperlink" Target="https://www.youtube.com/watch?v=d2gaQAiVveE" TargetMode="External"/><Relationship Id="rId_hyperlink_123" Type="http://schemas.openxmlformats.org/officeDocument/2006/relationships/hyperlink" Target="https://www.bb-salut.ru/product/fejerverk-rs6291-marmelad" TargetMode="External"/><Relationship Id="rId_hyperlink_124" Type="http://schemas.openxmlformats.org/officeDocument/2006/relationships/hyperlink" Target="https://www.youtube.com/watch?v=qFGI-ktQ5ng" TargetMode="External"/><Relationship Id="rId_hyperlink_125" Type="http://schemas.openxmlformats.org/officeDocument/2006/relationships/hyperlink" Target="https://www.bb-salut.ru/product/fejerverk-pc605-ritm-zhizni" TargetMode="External"/><Relationship Id="rId_hyperlink_126" Type="http://schemas.openxmlformats.org/officeDocument/2006/relationships/hyperlink" Target="https://www.youtube.com/watch?v=8jfydFYUP-w" TargetMode="External"/><Relationship Id="rId_hyperlink_127" Type="http://schemas.openxmlformats.org/officeDocument/2006/relationships/hyperlink" Target="https://www.bb-salut.ru/product/fejerverk-pc606-fejerverk-na-rajone" TargetMode="External"/><Relationship Id="rId_hyperlink_128" Type="http://schemas.openxmlformats.org/officeDocument/2006/relationships/hyperlink" Target="https://www.youtube.com/watch?v=a-rtMdwa5go" TargetMode="External"/><Relationship Id="rId_hyperlink_129" Type="http://schemas.openxmlformats.org/officeDocument/2006/relationships/hyperlink" Target="https://www.bb-salut.ru/product/fejerverk-rs6350-podarok-dlya-yolochki" TargetMode="External"/><Relationship Id="rId_hyperlink_130" Type="http://schemas.openxmlformats.org/officeDocument/2006/relationships/hyperlink" Target="https://www.youtube.com/watch?v=GA2KocdWpto" TargetMode="External"/><Relationship Id="rId_hyperlink_131" Type="http://schemas.openxmlformats.org/officeDocument/2006/relationships/hyperlink" Target="https://www.bb-salut.ru/product/fejerverk-rs6365-fifochka" TargetMode="External"/><Relationship Id="rId_hyperlink_132" Type="http://schemas.openxmlformats.org/officeDocument/2006/relationships/hyperlink" Target="https://www.youtube.com/watch?v=aJU06v6gKsk" TargetMode="External"/><Relationship Id="rId_hyperlink_133" Type="http://schemas.openxmlformats.org/officeDocument/2006/relationships/hyperlink" Target="https://www.bb-salut.ru/product/fejerverk-rs6370-gulyaj-student" TargetMode="External"/><Relationship Id="rId_hyperlink_134" Type="http://schemas.openxmlformats.org/officeDocument/2006/relationships/hyperlink" Target="https://www.youtube.com/watch?v=AKaLhDNL2y0" TargetMode="External"/><Relationship Id="rId_hyperlink_135" Type="http://schemas.openxmlformats.org/officeDocument/2006/relationships/hyperlink" Target="https://www.bb-salut.ru/product/fejerverk-rs6380-lisa-alisa" TargetMode="External"/><Relationship Id="rId_hyperlink_136" Type="http://schemas.openxmlformats.org/officeDocument/2006/relationships/hyperlink" Target="https://www.youtube.com/watch?v=o7_YN84zn-s" TargetMode="External"/><Relationship Id="rId_hyperlink_137" Type="http://schemas.openxmlformats.org/officeDocument/2006/relationships/hyperlink" Target="https://www.bb-salut.ru/product/fejerverk-tc642-snegiri" TargetMode="External"/><Relationship Id="rId_hyperlink_138" Type="http://schemas.openxmlformats.org/officeDocument/2006/relationships/hyperlink" Target="https://www.youtube.com/watch?v=Wzf4liScBIk" TargetMode="External"/><Relationship Id="rId_hyperlink_139" Type="http://schemas.openxmlformats.org/officeDocument/2006/relationships/hyperlink" Target="https://www.bb-salut.ru/product/fejerverk-rs6401-novogodnij-horovod" TargetMode="External"/><Relationship Id="rId_hyperlink_140" Type="http://schemas.openxmlformats.org/officeDocument/2006/relationships/hyperlink" Target="https://www.youtube.com/watch?v=SIFltDMLXBg" TargetMode="External"/><Relationship Id="rId_hyperlink_141" Type="http://schemas.openxmlformats.org/officeDocument/2006/relationships/hyperlink" Target="https://www.bb-salut.ru/product/fejerverk-rs6505girl-s-rozhdeniem-dorogaya" TargetMode="External"/><Relationship Id="rId_hyperlink_142" Type="http://schemas.openxmlformats.org/officeDocument/2006/relationships/hyperlink" Target="https://www.youtube.com/watch?v=e_7IiIOiovg" TargetMode="External"/><Relationship Id="rId_hyperlink_143" Type="http://schemas.openxmlformats.org/officeDocument/2006/relationships/hyperlink" Target="https://www.bb-salut.ru/product/fejerverk-pc625-ozero-rica" TargetMode="External"/><Relationship Id="rId_hyperlink_144" Type="http://schemas.openxmlformats.org/officeDocument/2006/relationships/hyperlink" Target="https://www.youtube.com/watch?v=RnWFCOePqU8" TargetMode="External"/><Relationship Id="rId_hyperlink_145" Type="http://schemas.openxmlformats.org/officeDocument/2006/relationships/hyperlink" Target="https://www.bb-salut.ru/product/fejerverk-rs6515-alye-parusa" TargetMode="External"/><Relationship Id="rId_hyperlink_146" Type="http://schemas.openxmlformats.org/officeDocument/2006/relationships/hyperlink" Target="https://www.youtube.com/watch?v=9brF8TgEn9c" TargetMode="External"/><Relationship Id="rId_hyperlink_147" Type="http://schemas.openxmlformats.org/officeDocument/2006/relationships/hyperlink" Target="https://www.bb-salut.ru/product/fejerverk-rs6552-vse-i-srazu" TargetMode="External"/><Relationship Id="rId_hyperlink_148" Type="http://schemas.openxmlformats.org/officeDocument/2006/relationships/hyperlink" Target="https://www.youtube.com/watch?v=6_gwm4NJHGQ" TargetMode="External"/><Relationship Id="rId_hyperlink_149" Type="http://schemas.openxmlformats.org/officeDocument/2006/relationships/hyperlink" Target="https://www.bb-salut.ru/product/fejerverk-rs6580-vyshe-neba" TargetMode="External"/><Relationship Id="rId_hyperlink_150" Type="http://schemas.openxmlformats.org/officeDocument/2006/relationships/hyperlink" Target="https://www.youtube.com/watch?v=lTJyz8n3T7k" TargetMode="External"/><Relationship Id="rId_hyperlink_151" Type="http://schemas.openxmlformats.org/officeDocument/2006/relationships/hyperlink" Target="https://www.bb-salut.ru/product/fejerverk-rs6590-pod-shampusik" TargetMode="External"/><Relationship Id="rId_hyperlink_152" Type="http://schemas.openxmlformats.org/officeDocument/2006/relationships/hyperlink" Target="https://www.youtube.com/watch?v=KABRY_rNXJo" TargetMode="External"/><Relationship Id="rId_hyperlink_153" Type="http://schemas.openxmlformats.org/officeDocument/2006/relationships/hyperlink" Target="https://www.bb-salut.ru/product/fejerverk-rs6643-tarif-novogodnij" TargetMode="External"/><Relationship Id="rId_hyperlink_154" Type="http://schemas.openxmlformats.org/officeDocument/2006/relationships/hyperlink" Target="https://www.youtube.com/watch?v=K6igz9ECaBs" TargetMode="External"/><Relationship Id="rId_hyperlink_155" Type="http://schemas.openxmlformats.org/officeDocument/2006/relationships/hyperlink" Target="https://www.bb-salut.ru/product/fejerverk-rs6644-sto-pudov" TargetMode="External"/><Relationship Id="rId_hyperlink_156" Type="http://schemas.openxmlformats.org/officeDocument/2006/relationships/hyperlink" Target="https://www.youtube.com/watch?v=-SoY7shXDC8" TargetMode="External"/><Relationship Id="rId_hyperlink_157" Type="http://schemas.openxmlformats.org/officeDocument/2006/relationships/hyperlink" Target="https://www.bb-salut.ru/product/fejerverk-rs6650-mandarinovoe-nastroenie" TargetMode="External"/><Relationship Id="rId_hyperlink_158" Type="http://schemas.openxmlformats.org/officeDocument/2006/relationships/hyperlink" Target="https://www.youtube.com/watch?v=56_DJQL2y9g" TargetMode="External"/><Relationship Id="rId_hyperlink_159" Type="http://schemas.openxmlformats.org/officeDocument/2006/relationships/hyperlink" Target="https://www.bb-salut.ru/product/fejerverk-rs6680-prazdnichnyj-salyut" TargetMode="External"/><Relationship Id="rId_hyperlink_160" Type="http://schemas.openxmlformats.org/officeDocument/2006/relationships/hyperlink" Target="https://www.youtube.com/watch?v=0DxikWIuhJY" TargetMode="External"/><Relationship Id="rId_hyperlink_161" Type="http://schemas.openxmlformats.org/officeDocument/2006/relationships/hyperlink" Target="https://www.bb-salut.ru/product/fejerverk-rs7062-milashka" TargetMode="External"/><Relationship Id="rId_hyperlink_162" Type="http://schemas.openxmlformats.org/officeDocument/2006/relationships/hyperlink" Target="https://www.youtube.com/watch?v=g1ovTMmXMXc" TargetMode="External"/><Relationship Id="rId_hyperlink_163" Type="http://schemas.openxmlformats.org/officeDocument/2006/relationships/hyperlink" Target="https://www.bb-salut.ru/product/fejerverk-rs7065-lakomka" TargetMode="External"/><Relationship Id="rId_hyperlink_164" Type="http://schemas.openxmlformats.org/officeDocument/2006/relationships/hyperlink" Target="https://www.youtube.com/watch?v=utauXLwR1gY" TargetMode="External"/><Relationship Id="rId_hyperlink_165" Type="http://schemas.openxmlformats.org/officeDocument/2006/relationships/hyperlink" Target="https://www.bb-salut.ru/product/fejerverk-rs7077-ups-uzhasno-prikolnyj-salyut" TargetMode="External"/><Relationship Id="rId_hyperlink_166" Type="http://schemas.openxmlformats.org/officeDocument/2006/relationships/hyperlink" Target="https://www.youtube.com/watch?v=8ChODhdJNSI" TargetMode="External"/><Relationship Id="rId_hyperlink_167" Type="http://schemas.openxmlformats.org/officeDocument/2006/relationships/hyperlink" Target="https://www.bb-salut.ru/product/fejerverk-pc725-zhizn-udalas" TargetMode="External"/><Relationship Id="rId_hyperlink_168" Type="http://schemas.openxmlformats.org/officeDocument/2006/relationships/hyperlink" Target="https://www.youtube.com/watch?v=TVfh6qogyTE" TargetMode="External"/><Relationship Id="rId_hyperlink_169" Type="http://schemas.openxmlformats.org/officeDocument/2006/relationships/hyperlink" Target="https://www.bb-salut.ru/product/fejerverk-rs7335-elka-zhelanij" TargetMode="External"/><Relationship Id="rId_hyperlink_170" Type="http://schemas.openxmlformats.org/officeDocument/2006/relationships/hyperlink" Target="https://www.youtube.com/watch?v=BNQsmze-Wac" TargetMode="External"/><Relationship Id="rId_hyperlink_171" Type="http://schemas.openxmlformats.org/officeDocument/2006/relationships/hyperlink" Target="https://www.bb-salut.ru/product/fejerverk-rs7400-sps-salyut-prosto-skazka" TargetMode="External"/><Relationship Id="rId_hyperlink_172" Type="http://schemas.openxmlformats.org/officeDocument/2006/relationships/hyperlink" Target="https://www.youtube.com/watch?v=1Im3vhhtJLI" TargetMode="External"/><Relationship Id="rId_hyperlink_173" Type="http://schemas.openxmlformats.org/officeDocument/2006/relationships/hyperlink" Target="https://www.bb-salut.ru/product/fejerverk-rs7405-sng-salyut-novogodnij" TargetMode="External"/><Relationship Id="rId_hyperlink_174" Type="http://schemas.openxmlformats.org/officeDocument/2006/relationships/hyperlink" Target="https://www.youtube.com/watch?v=SUS-775q6kY" TargetMode="External"/><Relationship Id="rId_hyperlink_175" Type="http://schemas.openxmlformats.org/officeDocument/2006/relationships/hyperlink" Target="https://www.bb-salut.ru/product/fejerverk-rs7455-mchs-moshchnyj-chumovoj-salyut" TargetMode="External"/><Relationship Id="rId_hyperlink_176" Type="http://schemas.openxmlformats.org/officeDocument/2006/relationships/hyperlink" Target="https://www.youtube.com/watch?v=gtxj5I6IRfk" TargetMode="External"/><Relationship Id="rId_hyperlink_177" Type="http://schemas.openxmlformats.org/officeDocument/2006/relationships/hyperlink" Target="https://www.bb-salut.ru/product/fejerverk-pc781-sto-v-odnom" TargetMode="External"/><Relationship Id="rId_hyperlink_178" Type="http://schemas.openxmlformats.org/officeDocument/2006/relationships/hyperlink" Target="https://www.youtube.com/watch?v=ePOqH7nJrrQ" TargetMode="External"/><Relationship Id="rId_hyperlink_179" Type="http://schemas.openxmlformats.org/officeDocument/2006/relationships/hyperlink" Target="https://www.bb-salut.ru/product/fejerverk-rs7585-pust-budet-shchedrym-novyj-god" TargetMode="External"/><Relationship Id="rId_hyperlink_180" Type="http://schemas.openxmlformats.org/officeDocument/2006/relationships/hyperlink" Target="https://www.bb-salut.ru/product/fejerverk-rs7972-skazochnaya-strana" TargetMode="External"/><Relationship Id="rId_hyperlink_181" Type="http://schemas.openxmlformats.org/officeDocument/2006/relationships/hyperlink" Target="https://www.youtube.com/watch?v=3zD8d6WnveU" TargetMode="External"/><Relationship Id="rId_hyperlink_182" Type="http://schemas.openxmlformats.org/officeDocument/2006/relationships/hyperlink" Target="https://www.bb-salut.ru/product/fejerverk-rs7974-novyj-god-k-nam-mchitsya" TargetMode="External"/><Relationship Id="rId_hyperlink_183" Type="http://schemas.openxmlformats.org/officeDocument/2006/relationships/hyperlink" Target="https://www.youtube.com/watch?v=sX7Qpw-K4MQ" TargetMode="External"/><Relationship Id="rId_hyperlink_184" Type="http://schemas.openxmlformats.org/officeDocument/2006/relationships/hyperlink" Target="https://www.bb-salut.ru/product/fejerverk-rs8051-opa-anapa" TargetMode="External"/><Relationship Id="rId_hyperlink_185" Type="http://schemas.openxmlformats.org/officeDocument/2006/relationships/hyperlink" Target="https://www.youtube.com/watch?v=Ezk1TXTIhJE" TargetMode="External"/><Relationship Id="rId_hyperlink_186" Type="http://schemas.openxmlformats.org/officeDocument/2006/relationships/hyperlink" Target="https://www.bb-salut.ru/product/fejerverk-rs8069-russkie-gonki" TargetMode="External"/><Relationship Id="rId_hyperlink_187" Type="http://schemas.openxmlformats.org/officeDocument/2006/relationships/hyperlink" Target="https://www.youtube.com/watch?v=j8z375iLpvg" TargetMode="External"/><Relationship Id="rId_hyperlink_188" Type="http://schemas.openxmlformats.org/officeDocument/2006/relationships/hyperlink" Target="https://www.bb-salut.ru/product/fejerverk-rs8071-kremlyovskie-kuranty" TargetMode="External"/><Relationship Id="rId_hyperlink_189" Type="http://schemas.openxmlformats.org/officeDocument/2006/relationships/hyperlink" Target="https://www.youtube.com/watch?v=jlFeNsXLVQg" TargetMode="External"/><Relationship Id="rId_hyperlink_190" Type="http://schemas.openxmlformats.org/officeDocument/2006/relationships/hyperlink" Target="https://www.bb-salut.ru/product/fejerverk-rs8225-los" TargetMode="External"/><Relationship Id="rId_hyperlink_191" Type="http://schemas.openxmlformats.org/officeDocument/2006/relationships/hyperlink" Target="https://www.youtube.com/watch?v=-kCjmPyDj8o" TargetMode="External"/><Relationship Id="rId_hyperlink_192" Type="http://schemas.openxmlformats.org/officeDocument/2006/relationships/hyperlink" Target="https://www.bb-salut.ru/product/fejerverk-pc826-rossiya-vpered" TargetMode="External"/><Relationship Id="rId_hyperlink_193" Type="http://schemas.openxmlformats.org/officeDocument/2006/relationships/hyperlink" Target="https://www.youtube.com/watch?v=CbsKKBeIrVk" TargetMode="External"/><Relationship Id="rId_hyperlink_194" Type="http://schemas.openxmlformats.org/officeDocument/2006/relationships/hyperlink" Target="https://www.bb-salut.ru/product/fejerverk-rs8299-udachi-v-novom-godu" TargetMode="External"/><Relationship Id="rId_hyperlink_195" Type="http://schemas.openxmlformats.org/officeDocument/2006/relationships/hyperlink" Target="https://www.youtube.com/watch?v=SsYasuLq288" TargetMode="External"/><Relationship Id="rId_hyperlink_196" Type="http://schemas.openxmlformats.org/officeDocument/2006/relationships/hyperlink" Target="https://www.bb-salut.ru/product/fejerverk-pc840-malahitovaya-shkatulka" TargetMode="External"/><Relationship Id="rId_hyperlink_197" Type="http://schemas.openxmlformats.org/officeDocument/2006/relationships/hyperlink" Target="https://www.youtube.com/watch?v=VdkKHGniSVU" TargetMode="External"/><Relationship Id="rId_hyperlink_198" Type="http://schemas.openxmlformats.org/officeDocument/2006/relationships/hyperlink" Target="https://www.bb-salut.ru/product/fejerverk-rs8440-salyut-po-gostu" TargetMode="External"/><Relationship Id="rId_hyperlink_199" Type="http://schemas.openxmlformats.org/officeDocument/2006/relationships/hyperlink" Target="https://www.youtube.com/watch?v=OJM-K4EW3rc" TargetMode="External"/><Relationship Id="rId_hyperlink_200" Type="http://schemas.openxmlformats.org/officeDocument/2006/relationships/hyperlink" Target="https://www.bb-salut.ru/product/fejerverk-rs8452-salyut-na-yubilej" TargetMode="External"/><Relationship Id="rId_hyperlink_201" Type="http://schemas.openxmlformats.org/officeDocument/2006/relationships/hyperlink" Target="https://www.youtube.com/watch?v=tgtg4GLKfQQ" TargetMode="External"/><Relationship Id="rId_hyperlink_202" Type="http://schemas.openxmlformats.org/officeDocument/2006/relationships/hyperlink" Target="https://www.bb-salut.ru/product/fejerverk-pc876-pyatyj-okean" TargetMode="External"/><Relationship Id="rId_hyperlink_203" Type="http://schemas.openxmlformats.org/officeDocument/2006/relationships/hyperlink" Target="https://www.youtube.com/watch?v=wlLgRGx5b9M" TargetMode="External"/><Relationship Id="rId_hyperlink_204" Type="http://schemas.openxmlformats.org/officeDocument/2006/relationships/hyperlink" Target="https://www.bb-salut.ru/product/fejerverk-rs8880-zolotye-palmy" TargetMode="External"/><Relationship Id="rId_hyperlink_205" Type="http://schemas.openxmlformats.org/officeDocument/2006/relationships/hyperlink" Target="https://www.youtube.com/watch?v=EF7oay6CQFY" TargetMode="External"/><Relationship Id="rId_hyperlink_206" Type="http://schemas.openxmlformats.org/officeDocument/2006/relationships/hyperlink" Target="https://www.bb-salut.ru/product/fejerverk-rs8888-bombisto" TargetMode="External"/><Relationship Id="rId_hyperlink_207" Type="http://schemas.openxmlformats.org/officeDocument/2006/relationships/hyperlink" Target="https://www.youtube.com/watch?v=jdHHRDTwlRM" TargetMode="External"/><Relationship Id="rId_hyperlink_208" Type="http://schemas.openxmlformats.org/officeDocument/2006/relationships/hyperlink" Target="https://www.bb-salut.ru/product/fejerverk-rs8890-fantastika" TargetMode="External"/><Relationship Id="rId_hyperlink_209" Type="http://schemas.openxmlformats.org/officeDocument/2006/relationships/hyperlink" Target="https://www.youtube.com/watch?v=6bXFBDLkCDA" TargetMode="External"/><Relationship Id="rId_hyperlink_210" Type="http://schemas.openxmlformats.org/officeDocument/2006/relationships/hyperlink" Target="https://www.bb-salut.ru/product/fejerverk-pc890-sssr-samyj-stilnyj-salyut-rossii" TargetMode="External"/><Relationship Id="rId_hyperlink_211" Type="http://schemas.openxmlformats.org/officeDocument/2006/relationships/hyperlink" Target="https://www.youtube.com/watch?v=T9X5ZlDbTM4" TargetMode="External"/><Relationship Id="rId_hyperlink_212" Type="http://schemas.openxmlformats.org/officeDocument/2006/relationships/hyperlink" Target="https://www.bb-salut.ru/product/fejerverk-rs9020-doping-vnutri" TargetMode="External"/><Relationship Id="rId_hyperlink_213" Type="http://schemas.openxmlformats.org/officeDocument/2006/relationships/hyperlink" Target="https://www.youtube.com/watch?v=ihB0LYvE8r8" TargetMode="External"/><Relationship Id="rId_hyperlink_214" Type="http://schemas.openxmlformats.org/officeDocument/2006/relationships/hyperlink" Target="https://www.bb-salut.ru/product/fejerverk-rs9035-podarok-ot-druzej" TargetMode="External"/><Relationship Id="rId_hyperlink_215" Type="http://schemas.openxmlformats.org/officeDocument/2006/relationships/hyperlink" Target="https://www.youtube.com/watch?v=6oCE2PnzuSE" TargetMode="External"/><Relationship Id="rId_hyperlink_216" Type="http://schemas.openxmlformats.org/officeDocument/2006/relationships/hyperlink" Target="https://www.bb-salut.ru/product/fejerverk-rs9070-salyut-dostojnyj-prezidenta" TargetMode="External"/><Relationship Id="rId_hyperlink_217" Type="http://schemas.openxmlformats.org/officeDocument/2006/relationships/hyperlink" Target="https://www.youtube.com/watch?v=2Oiebszvf_U" TargetMode="External"/><Relationship Id="rId_hyperlink_218" Type="http://schemas.openxmlformats.org/officeDocument/2006/relationships/hyperlink" Target="https://www.bb-salut.ru/product/fejerverk-rs9232-yavnoe-preimushchestvo" TargetMode="External"/><Relationship Id="rId_hyperlink_219" Type="http://schemas.openxmlformats.org/officeDocument/2006/relationships/hyperlink" Target="https://www.bb-salut.ru/product/fejerverk-rs9234-russkij-mir" TargetMode="External"/><Relationship Id="rId_hyperlink_220" Type="http://schemas.openxmlformats.org/officeDocument/2006/relationships/hyperlink" Target="https://www.bb-salut.ru/product/fejerverk-rs9235-sluzhu-otechestvu" TargetMode="External"/><Relationship Id="rId_hyperlink_221" Type="http://schemas.openxmlformats.org/officeDocument/2006/relationships/hyperlink" Target="https://www.youtube.com/watch?v=yru9PAOM71M" TargetMode="External"/><Relationship Id="rId_hyperlink_222" Type="http://schemas.openxmlformats.org/officeDocument/2006/relationships/hyperlink" Target="https://www.bb-salut.ru/product/fejerverk-rs9236-vecherinochka" TargetMode="External"/><Relationship Id="rId_hyperlink_223" Type="http://schemas.openxmlformats.org/officeDocument/2006/relationships/hyperlink" Target="https://www.youtube.com/watch?v=1JzK0f3Qvvc" TargetMode="External"/><Relationship Id="rId_hyperlink_224" Type="http://schemas.openxmlformats.org/officeDocument/2006/relationships/hyperlink" Target="https://www.bb-salut.ru/product/fejerverk-rs9237-zhizn-prekrasna" TargetMode="External"/><Relationship Id="rId_hyperlink_225" Type="http://schemas.openxmlformats.org/officeDocument/2006/relationships/hyperlink" Target="https://www.youtube.com/watch?v=mtrzkU_a6js" TargetMode="External"/><Relationship Id="rId_hyperlink_226" Type="http://schemas.openxmlformats.org/officeDocument/2006/relationships/hyperlink" Target="https://www.bb-salut.ru/product/fejerverk-rs9245-gorzhus-rossiej" TargetMode="External"/><Relationship Id="rId_hyperlink_227" Type="http://schemas.openxmlformats.org/officeDocument/2006/relationships/hyperlink" Target="https://www.youtube.com/watch?v=WwuantiPPy0" TargetMode="External"/><Relationship Id="rId_hyperlink_228" Type="http://schemas.openxmlformats.org/officeDocument/2006/relationships/hyperlink" Target="https://www.bb-salut.ru/product/fejerverk-pc915-dostoyanie-respubliki" TargetMode="External"/><Relationship Id="rId_hyperlink_229" Type="http://schemas.openxmlformats.org/officeDocument/2006/relationships/hyperlink" Target="https://www.youtube.com/watch?v=NxsuGXab8S0" TargetMode="External"/><Relationship Id="rId_hyperlink_230" Type="http://schemas.openxmlformats.org/officeDocument/2006/relationships/hyperlink" Target="https://www.bb-salut.ru/product/fejerverk-rs9500-borodino" TargetMode="External"/><Relationship Id="rId_hyperlink_231" Type="http://schemas.openxmlformats.org/officeDocument/2006/relationships/hyperlink" Target="https://www.youtube.com/watch?v=MaKkzWk_M2w" TargetMode="External"/><Relationship Id="rId_hyperlink_232" Type="http://schemas.openxmlformats.org/officeDocument/2006/relationships/hyperlink" Target="https://www.bb-salut.ru/product/fejerverk-rs9505-poltava" TargetMode="External"/><Relationship Id="rId_hyperlink_233" Type="http://schemas.openxmlformats.org/officeDocument/2006/relationships/hyperlink" Target="https://www.youtube.com/watch?v=bquzuX548qk" TargetMode="External"/><Relationship Id="rId_hyperlink_234" Type="http://schemas.openxmlformats.org/officeDocument/2006/relationships/hyperlink" Target="https://www.bb-salut.ru/product/fejerverk-rs9526-udar-po-sankciyam" TargetMode="External"/><Relationship Id="rId_hyperlink_235" Type="http://schemas.openxmlformats.org/officeDocument/2006/relationships/hyperlink" Target="https://www.youtube.com/watch?v=5SoyT0ucZcE" TargetMode="External"/><Relationship Id="rId_hyperlink_236" Type="http://schemas.openxmlformats.org/officeDocument/2006/relationships/hyperlink" Target="https://www.bb-salut.ru/product/fejerverk-rs9527-krupnogabaritnyj-salyut" TargetMode="External"/><Relationship Id="rId_hyperlink_237" Type="http://schemas.openxmlformats.org/officeDocument/2006/relationships/hyperlink" Target="https://www.youtube.com/watch?v=R1s3a0Z0dt0" TargetMode="External"/><Relationship Id="rId_hyperlink_238" Type="http://schemas.openxmlformats.org/officeDocument/2006/relationships/hyperlink" Target="https://www.bb-salut.ru/product/fejerverk-pc954-dlya-krutoj-kompanii" TargetMode="External"/><Relationship Id="rId_hyperlink_239" Type="http://schemas.openxmlformats.org/officeDocument/2006/relationships/hyperlink" Target="https://www.youtube.com/watch?v=eqclf42xpPE" TargetMode="External"/><Relationship Id="rId_hyperlink_240" Type="http://schemas.openxmlformats.org/officeDocument/2006/relationships/hyperlink" Target="https://www.bb-salut.ru/product/fejerverk-rs9740-petr-velikij" TargetMode="External"/><Relationship Id="rId_hyperlink_241" Type="http://schemas.openxmlformats.org/officeDocument/2006/relationships/hyperlink" Target="https://www.youtube.com/watch?v=sUbrm_mozfE" TargetMode="External"/><Relationship Id="rId_hyperlink_242" Type="http://schemas.openxmlformats.org/officeDocument/2006/relationships/hyperlink" Target="https://www.bb-salut.ru/product/fejerverk-rs9760-zov-otvazhnyh" TargetMode="External"/><Relationship Id="rId_hyperlink_243" Type="http://schemas.openxmlformats.org/officeDocument/2006/relationships/hyperlink" Target="https://www.youtube.com/watch?v=9h2RwNZX6hA" TargetMode="External"/><Relationship Id="rId_hyperlink_244" Type="http://schemas.openxmlformats.org/officeDocument/2006/relationships/hyperlink" Target="https://www.bb-salut.ru/product/fejerverk-es268-novogod" TargetMode="External"/><Relationship Id="rId_hyperlink_245" Type="http://schemas.openxmlformats.org/officeDocument/2006/relationships/hyperlink" Target="https://www.youtube.com/watch?v=SwEnLHlW_-Y" TargetMode="External"/><Relationship Id="rId_hyperlink_246" Type="http://schemas.openxmlformats.org/officeDocument/2006/relationships/hyperlink" Target="https://www.bb-salut.ru/product/fejerverk-es276-pro-prazdnik" TargetMode="External"/><Relationship Id="rId_hyperlink_247" Type="http://schemas.openxmlformats.org/officeDocument/2006/relationships/hyperlink" Target="https://www.youtube.com/watch?v=-9KEq4bLtv8" TargetMode="External"/><Relationship Id="rId_hyperlink_248" Type="http://schemas.openxmlformats.org/officeDocument/2006/relationships/hyperlink" Target="https://www.bb-salut.ru/product/fejerverk-es279-malchik-ili-devochka-devochka-dlya-gender-pati" TargetMode="External"/><Relationship Id="rId_hyperlink_249" Type="http://schemas.openxmlformats.org/officeDocument/2006/relationships/hyperlink" Target="https://www.youtube.com/watch?v=HOkWL-GH8_o" TargetMode="External"/><Relationship Id="rId_hyperlink_250" Type="http://schemas.openxmlformats.org/officeDocument/2006/relationships/hyperlink" Target="https://www.bb-salut.ru/product/fejeverk-ec350-royal-de-lyuks" TargetMode="External"/><Relationship Id="rId_hyperlink_251" Type="http://schemas.openxmlformats.org/officeDocument/2006/relationships/hyperlink" Target="https://www.youtube.com/watch?v=8ZbhNLnYw8w" TargetMode="External"/><Relationship Id="rId_hyperlink_252" Type="http://schemas.openxmlformats.org/officeDocument/2006/relationships/hyperlink" Target="https://www.bb-salut.ru/product/fejerverk-ec422-snezhiki" TargetMode="External"/><Relationship Id="rId_hyperlink_253" Type="http://schemas.openxmlformats.org/officeDocument/2006/relationships/hyperlink" Target="https://www.youtube.com/watch?v=JNJPQnx69tQ" TargetMode="External"/><Relationship Id="rId_hyperlink_254" Type="http://schemas.openxmlformats.org/officeDocument/2006/relationships/hyperlink" Target="https://www.bb-salut.ru/product/fejerverk-es450-crazy-santa" TargetMode="External"/><Relationship Id="rId_hyperlink_255" Type="http://schemas.openxmlformats.org/officeDocument/2006/relationships/hyperlink" Target="https://www.youtube.com/watch?v=IWo4NJ2LMTs" TargetMode="External"/><Relationship Id="rId_hyperlink_256" Type="http://schemas.openxmlformats.org/officeDocument/2006/relationships/hyperlink" Target="https://www.bb-salut.ru/product/fejerverk-es464-koroleva-tancpola" TargetMode="External"/><Relationship Id="rId_hyperlink_257" Type="http://schemas.openxmlformats.org/officeDocument/2006/relationships/hyperlink" Target="https://www.youtube.com/watch?v=bhLiwc_2nEI" TargetMode="External"/><Relationship Id="rId_hyperlink_258" Type="http://schemas.openxmlformats.org/officeDocument/2006/relationships/hyperlink" Target="https://www.bb-salut.ru/product/fejerverk-es476-gulyaem" TargetMode="External"/><Relationship Id="rId_hyperlink_259" Type="http://schemas.openxmlformats.org/officeDocument/2006/relationships/hyperlink" Target="https://www.youtube.com/watch?v=xnvnPyFXvqI" TargetMode="External"/><Relationship Id="rId_hyperlink_260" Type="http://schemas.openxmlformats.org/officeDocument/2006/relationships/hyperlink" Target="https://www.bb-salut.ru/product/fejerverk-es551-krutoj" TargetMode="External"/><Relationship Id="rId_hyperlink_261" Type="http://schemas.openxmlformats.org/officeDocument/2006/relationships/hyperlink" Target="https://www.youtube.com/watch?v=CXFrVB8pMxo" TargetMode="External"/><Relationship Id="rId_hyperlink_262" Type="http://schemas.openxmlformats.org/officeDocument/2006/relationships/hyperlink" Target="https://www.bb-salut.ru/product/fejerverk-es553-salyut-da-lyubov" TargetMode="External"/><Relationship Id="rId_hyperlink_263" Type="http://schemas.openxmlformats.org/officeDocument/2006/relationships/hyperlink" Target="https://www.youtube.com/watch?v=WHLoxszgA3k" TargetMode="External"/><Relationship Id="rId_hyperlink_264" Type="http://schemas.openxmlformats.org/officeDocument/2006/relationships/hyperlink" Target="https://www.bb-salut.ru/product/fejerverk-es728-pyatnica" TargetMode="External"/><Relationship Id="rId_hyperlink_265" Type="http://schemas.openxmlformats.org/officeDocument/2006/relationships/hyperlink" Target="https://www.youtube.com/watch?v=4jtes3lP_l4" TargetMode="External"/><Relationship Id="rId_hyperlink_266" Type="http://schemas.openxmlformats.org/officeDocument/2006/relationships/hyperlink" Target="https://www.bb-salut.ru/product/fejerverk-es768-stolnik" TargetMode="External"/><Relationship Id="rId_hyperlink_267" Type="http://schemas.openxmlformats.org/officeDocument/2006/relationships/hyperlink" Target="https://www.youtube.com/watch?v=tDNZMUhkZjo" TargetMode="External"/><Relationship Id="rId_hyperlink_268" Type="http://schemas.openxmlformats.org/officeDocument/2006/relationships/hyperlink" Target="https://www.bb-salut.ru/product/fejerverk-os6015-safari" TargetMode="External"/><Relationship Id="rId_hyperlink_269" Type="http://schemas.openxmlformats.org/officeDocument/2006/relationships/hyperlink" Target="https://www.youtube.com/watch?v=QsXyVxCxZMg" TargetMode="External"/><Relationship Id="rId_hyperlink_270" Type="http://schemas.openxmlformats.org/officeDocument/2006/relationships/hyperlink" Target="https://www.bb-salut.ru/product/fejerverk-os6030-panda" TargetMode="External"/><Relationship Id="rId_hyperlink_271" Type="http://schemas.openxmlformats.org/officeDocument/2006/relationships/hyperlink" Target="https://www.youtube.com/watch?v=k_nwrSUeeIE" TargetMode="External"/><Relationship Id="rId_hyperlink_272" Type="http://schemas.openxmlformats.org/officeDocument/2006/relationships/hyperlink" Target="https://www.bb-salut.ru/product/fejerverk-os6220-anime" TargetMode="External"/><Relationship Id="rId_hyperlink_273" Type="http://schemas.openxmlformats.org/officeDocument/2006/relationships/hyperlink" Target="https://www.youtube.com/watch?v=0O4MIXHGo2c" TargetMode="External"/><Relationship Id="rId_hyperlink_274" Type="http://schemas.openxmlformats.org/officeDocument/2006/relationships/hyperlink" Target="https://www.bb-salut.ru/product/fejerverk-os6221-origami" TargetMode="External"/><Relationship Id="rId_hyperlink_275" Type="http://schemas.openxmlformats.org/officeDocument/2006/relationships/hyperlink" Target="https://www.youtube.com/watch?v=5rpmvjoN9JI" TargetMode="External"/><Relationship Id="rId_hyperlink_276" Type="http://schemas.openxmlformats.org/officeDocument/2006/relationships/hyperlink" Target="https://www.bb-salut.ru/product/fejerverk-os6245-zimnie-alpy" TargetMode="External"/><Relationship Id="rId_hyperlink_277" Type="http://schemas.openxmlformats.org/officeDocument/2006/relationships/hyperlink" Target="https://www.youtube.com/watch?v=tGuS1A0fPEc" TargetMode="External"/><Relationship Id="rId_hyperlink_278" Type="http://schemas.openxmlformats.org/officeDocument/2006/relationships/hyperlink" Target="https://www.bb-salut.ru/product/fejerverk-os6250-podsolnuhi" TargetMode="External"/><Relationship Id="rId_hyperlink_279" Type="http://schemas.openxmlformats.org/officeDocument/2006/relationships/hyperlink" Target="https://www.youtube.com/watch?v=-KrQvogAR-A" TargetMode="External"/><Relationship Id="rId_hyperlink_280" Type="http://schemas.openxmlformats.org/officeDocument/2006/relationships/hyperlink" Target="https://www.bb-salut.ru/product/fejerverk-os6255-vesnushki" TargetMode="External"/><Relationship Id="rId_hyperlink_281" Type="http://schemas.openxmlformats.org/officeDocument/2006/relationships/hyperlink" Target="https://www.youtube.com/watch?v=qMt0j0WyWU4" TargetMode="External"/><Relationship Id="rId_hyperlink_282" Type="http://schemas.openxmlformats.org/officeDocument/2006/relationships/hyperlink" Target="https://www.bb-salut.ru/product/fejerverk-os6275-mozart" TargetMode="External"/><Relationship Id="rId_hyperlink_283" Type="http://schemas.openxmlformats.org/officeDocument/2006/relationships/hyperlink" Target="https://www.youtube.com/watch?v=JJRtXBLKS00" TargetMode="External"/><Relationship Id="rId_hyperlink_284" Type="http://schemas.openxmlformats.org/officeDocument/2006/relationships/hyperlink" Target="https://www.bb-salut.ru/product/fejerverk-os6320-feniks" TargetMode="External"/><Relationship Id="rId_hyperlink_285" Type="http://schemas.openxmlformats.org/officeDocument/2006/relationships/hyperlink" Target="https://www.youtube.com/watch?v=lvf_ul8AGU0" TargetMode="External"/><Relationship Id="rId_hyperlink_286" Type="http://schemas.openxmlformats.org/officeDocument/2006/relationships/hyperlink" Target="https://www.bb-salut.ru/product/fejerverk-os6340-fint-ushami" TargetMode="External"/><Relationship Id="rId_hyperlink_287" Type="http://schemas.openxmlformats.org/officeDocument/2006/relationships/hyperlink" Target="https://www.youtube.com/watch?v=DfDlqGx6bWw" TargetMode="External"/><Relationship Id="rId_hyperlink_288" Type="http://schemas.openxmlformats.org/officeDocument/2006/relationships/hyperlink" Target="https://www.bb-salut.ru/product/fejerverk-os6410-bolivar" TargetMode="External"/><Relationship Id="rId_hyperlink_289" Type="http://schemas.openxmlformats.org/officeDocument/2006/relationships/hyperlink" Target="https://www.youtube.com/watch?v=bHyMKuYOUHc" TargetMode="External"/><Relationship Id="rId_hyperlink_290" Type="http://schemas.openxmlformats.org/officeDocument/2006/relationships/hyperlink" Target="https://www.bb-salut.ru/product/fejerverk-os6412-praga" TargetMode="External"/><Relationship Id="rId_hyperlink_291" Type="http://schemas.openxmlformats.org/officeDocument/2006/relationships/hyperlink" Target="https://www.youtube.com/watch?v=NkwflsoMfbs" TargetMode="External"/><Relationship Id="rId_hyperlink_292" Type="http://schemas.openxmlformats.org/officeDocument/2006/relationships/hyperlink" Target="https://www.bb-salut.ru/product/fejerverk-os6422-cvetushchaya-sakura" TargetMode="External"/><Relationship Id="rId_hyperlink_293" Type="http://schemas.openxmlformats.org/officeDocument/2006/relationships/hyperlink" Target="https://www.youtube.com/watch?v=oLwlqMVgfOY" TargetMode="External"/><Relationship Id="rId_hyperlink_294" Type="http://schemas.openxmlformats.org/officeDocument/2006/relationships/hyperlink" Target="https://www.bb-salut.ru/product/fejerverk-os6430-vishenka-na-torte" TargetMode="External"/><Relationship Id="rId_hyperlink_295" Type="http://schemas.openxmlformats.org/officeDocument/2006/relationships/hyperlink" Target="https://www.youtube.com/watch?v=NPfExJHKAYM" TargetMode="External"/><Relationship Id="rId_hyperlink_296" Type="http://schemas.openxmlformats.org/officeDocument/2006/relationships/hyperlink" Target="https://www.bb-salut.ru/product/fejerverk-os6490-cowboy" TargetMode="External"/><Relationship Id="rId_hyperlink_297" Type="http://schemas.openxmlformats.org/officeDocument/2006/relationships/hyperlink" Target="https://www.youtube.com/watch?v=KBc7I2WnX7w" TargetMode="External"/><Relationship Id="rId_hyperlink_298" Type="http://schemas.openxmlformats.org/officeDocument/2006/relationships/hyperlink" Target="https://www.bb-salut.ru/product/fejerverk-os6910-tango" TargetMode="External"/><Relationship Id="rId_hyperlink_299" Type="http://schemas.openxmlformats.org/officeDocument/2006/relationships/hyperlink" Target="https://www.youtube.com/watch?v=9wOlOztOiTM" TargetMode="External"/><Relationship Id="rId_hyperlink_300" Type="http://schemas.openxmlformats.org/officeDocument/2006/relationships/hyperlink" Target="https://www.bb-salut.ru/product/fejerverk-os7150-polyarnoe-siyanie" TargetMode="External"/><Relationship Id="rId_hyperlink_301" Type="http://schemas.openxmlformats.org/officeDocument/2006/relationships/hyperlink" Target="https://www.youtube.com/watch?v=LrrzP2G0yB4" TargetMode="External"/><Relationship Id="rId_hyperlink_302" Type="http://schemas.openxmlformats.org/officeDocument/2006/relationships/hyperlink" Target="https://www.bb-salut.ru/product/fejerverk-os7222-chajna-taun" TargetMode="External"/><Relationship Id="rId_hyperlink_303" Type="http://schemas.openxmlformats.org/officeDocument/2006/relationships/hyperlink" Target="https://www.youtube.com/watch?v=rBsf6vkbLRA" TargetMode="External"/><Relationship Id="rId_hyperlink_304" Type="http://schemas.openxmlformats.org/officeDocument/2006/relationships/hyperlink" Target="https://www.bb-salut.ru/product/fejerverk-os7260-schaste-est" TargetMode="External"/><Relationship Id="rId_hyperlink_305" Type="http://schemas.openxmlformats.org/officeDocument/2006/relationships/hyperlink" Target="https://www.youtube.com/watch?v=kVwvyQd-O6Y" TargetMode="External"/><Relationship Id="rId_hyperlink_306" Type="http://schemas.openxmlformats.org/officeDocument/2006/relationships/hyperlink" Target="https://www.bb-salut.ru/product/feyerverk-os7265-dedmorozovka" TargetMode="External"/><Relationship Id="rId_hyperlink_307" Type="http://schemas.openxmlformats.org/officeDocument/2006/relationships/hyperlink" Target="https://www.youtube.com/watch?v=fDRFoybRBgc" TargetMode="External"/><Relationship Id="rId_hyperlink_308" Type="http://schemas.openxmlformats.org/officeDocument/2006/relationships/hyperlink" Target="https://www.bb-salut.ru/product/fejerverk-os7334-schaste-ulybnulos" TargetMode="External"/><Relationship Id="rId_hyperlink_309" Type="http://schemas.openxmlformats.org/officeDocument/2006/relationships/hyperlink" Target="https://www.youtube.com/watch?v=dI3JiyAXdEk" TargetMode="External"/><Relationship Id="rId_hyperlink_310" Type="http://schemas.openxmlformats.org/officeDocument/2006/relationships/hyperlink" Target="https://www.bb-salut.ru/product/fejerverk-os7545-dlya-realnyh-pacanov" TargetMode="External"/><Relationship Id="rId_hyperlink_311" Type="http://schemas.openxmlformats.org/officeDocument/2006/relationships/hyperlink" Target="https://www.youtube.com/watch?v=X08STL0f28A" TargetMode="External"/><Relationship Id="rId_hyperlink_312" Type="http://schemas.openxmlformats.org/officeDocument/2006/relationships/hyperlink" Target="https://www.bb-salut.ru/product/fejerverk-os7548-zaryad-pozitiva" TargetMode="External"/><Relationship Id="rId_hyperlink_313" Type="http://schemas.openxmlformats.org/officeDocument/2006/relationships/hyperlink" Target="https://www.youtube.com/watch?v=m4Uo5hBMXj4" TargetMode="External"/><Relationship Id="rId_hyperlink_314" Type="http://schemas.openxmlformats.org/officeDocument/2006/relationships/hyperlink" Target="https://www.bb-salut.ru/product/fejerverk-os7550-novogodnyaya-shtuchka" TargetMode="External"/><Relationship Id="rId_hyperlink_315" Type="http://schemas.openxmlformats.org/officeDocument/2006/relationships/hyperlink" Target="https://www.youtube.com/watch?v=P_z-oj8Pons" TargetMode="External"/><Relationship Id="rId_hyperlink_316" Type="http://schemas.openxmlformats.org/officeDocument/2006/relationships/hyperlink" Target="https://www.bb-salut.ru/product/fejerverk-os7850-bahchisaraj" TargetMode="External"/><Relationship Id="rId_hyperlink_317" Type="http://schemas.openxmlformats.org/officeDocument/2006/relationships/hyperlink" Target="https://www.youtube.com/watch?v=FpAhOQzA6A4" TargetMode="External"/><Relationship Id="rId_hyperlink_318" Type="http://schemas.openxmlformats.org/officeDocument/2006/relationships/hyperlink" Target="https://www.bb-salut.ru/product/fejerverk-os7870-za-sbychu-mecht" TargetMode="External"/><Relationship Id="rId_hyperlink_319" Type="http://schemas.openxmlformats.org/officeDocument/2006/relationships/hyperlink" Target="https://www.youtube.com/watch?v=iY8rJ25SqZU" TargetMode="External"/><Relationship Id="rId_hyperlink_320" Type="http://schemas.openxmlformats.org/officeDocument/2006/relationships/hyperlink" Target="https://www.bb-salut.ru/product/fejerverk-os7900-centurion" TargetMode="External"/><Relationship Id="rId_hyperlink_321" Type="http://schemas.openxmlformats.org/officeDocument/2006/relationships/hyperlink" Target="https://www.youtube.com/watch?v=S-iwLJfSfAk" TargetMode="External"/><Relationship Id="rId_hyperlink_322" Type="http://schemas.openxmlformats.org/officeDocument/2006/relationships/hyperlink" Target="https://www.bb-salut.ru/product/fejerverk-os8225-sochelnik" TargetMode="External"/><Relationship Id="rId_hyperlink_323" Type="http://schemas.openxmlformats.org/officeDocument/2006/relationships/hyperlink" Target="https://www.youtube.com/watch?v=ns_hvoXoMps" TargetMode="External"/><Relationship Id="rId_hyperlink_324" Type="http://schemas.openxmlformats.org/officeDocument/2006/relationships/hyperlink" Target="https://www.bb-salut.ru/product/fejerverk-os8250-chili" TargetMode="External"/><Relationship Id="rId_hyperlink_325" Type="http://schemas.openxmlformats.org/officeDocument/2006/relationships/hyperlink" Target="https://www.youtube.com/watch?v=lXAcqq-9JCs" TargetMode="External"/><Relationship Id="rId_hyperlink_326" Type="http://schemas.openxmlformats.org/officeDocument/2006/relationships/hyperlink" Target="https://www.bb-salut.ru/product/fejerverk-os8440-kalejdoskop-ognej" TargetMode="External"/><Relationship Id="rId_hyperlink_327" Type="http://schemas.openxmlformats.org/officeDocument/2006/relationships/hyperlink" Target="https://www.youtube.com/watch?v=cmX8godJXTo" TargetMode="External"/><Relationship Id="rId_hyperlink_328" Type="http://schemas.openxmlformats.org/officeDocument/2006/relationships/hyperlink" Target="https://www.bb-salut.ru/product/fejerverk-os8880-antalya" TargetMode="External"/><Relationship Id="rId_hyperlink_329" Type="http://schemas.openxmlformats.org/officeDocument/2006/relationships/hyperlink" Target="https://www.youtube.com/watch?v=Lo3_bVDdOYk" TargetMode="External"/><Relationship Id="rId_hyperlink_330" Type="http://schemas.openxmlformats.org/officeDocument/2006/relationships/hyperlink" Target="https://www.bb-salut.ru/product/fejerverk-vh080-07-01-roza-vetrov" TargetMode="External"/><Relationship Id="rId_hyperlink_331" Type="http://schemas.openxmlformats.org/officeDocument/2006/relationships/hyperlink" Target="https://www.youtube.com/watch?v=YMxvnT-ojeY" TargetMode="External"/><Relationship Id="rId_hyperlink_332" Type="http://schemas.openxmlformats.org/officeDocument/2006/relationships/hyperlink" Target="https://www.bb-salut.ru/product/fejerverk-vh080-07-02-zalp-schot-0-8-h-8" TargetMode="External"/><Relationship Id="rId_hyperlink_333" Type="http://schemas.openxmlformats.org/officeDocument/2006/relationships/hyperlink" Target="https://www.youtube.com/watch?v=bZjmVexa7uY" TargetMode="External"/><Relationship Id="rId_hyperlink_334" Type="http://schemas.openxmlformats.org/officeDocument/2006/relationships/hyperlink" Target="https://www.bb-salut.ru/product/fejerverk-vh080-09-01-tyulpany" TargetMode="External"/><Relationship Id="rId_hyperlink_335" Type="http://schemas.openxmlformats.org/officeDocument/2006/relationships/hyperlink" Target="https://www.youtube.com/watch?v=v0I53oDYDKU" TargetMode="External"/><Relationship Id="rId_hyperlink_336" Type="http://schemas.openxmlformats.org/officeDocument/2006/relationships/hyperlink" Target="https://www.bb-salut.ru/product/fejerverk-vh080-100-02-oranzhevyj-general" TargetMode="External"/><Relationship Id="rId_hyperlink_337" Type="http://schemas.openxmlformats.org/officeDocument/2006/relationships/hyperlink" Target="https://www.youtube.com/watch?v=UVAZiMvO3Jc" TargetMode="External"/><Relationship Id="rId_hyperlink_338" Type="http://schemas.openxmlformats.org/officeDocument/2006/relationships/hyperlink" Target="https://www.bb-salut.ru/product/fejerverk-vh080-10-01-ayaks" TargetMode="External"/><Relationship Id="rId_hyperlink_339" Type="http://schemas.openxmlformats.org/officeDocument/2006/relationships/hyperlink" Target="https://www.youtube.com/watch?v=sc1nZpBtuOE" TargetMode="External"/><Relationship Id="rId_hyperlink_340" Type="http://schemas.openxmlformats.org/officeDocument/2006/relationships/hyperlink" Target="https://www.bb-salut.ru/product/fejerverk-vh080-16-01-yakor" TargetMode="External"/><Relationship Id="rId_hyperlink_341" Type="http://schemas.openxmlformats.org/officeDocument/2006/relationships/hyperlink" Target="https://www.youtube.com/watch?v=xD53zRTNzOk" TargetMode="External"/><Relationship Id="rId_hyperlink_342" Type="http://schemas.openxmlformats.org/officeDocument/2006/relationships/hyperlink" Target="https://www.bb-salut.ru/product/fejerverk-vh080-19-01-poputnyj-veter" TargetMode="External"/><Relationship Id="rId_hyperlink_343" Type="http://schemas.openxmlformats.org/officeDocument/2006/relationships/hyperlink" Target="https://www.youtube.com/watch?v=bH0fBavkyEE" TargetMode="External"/><Relationship Id="rId_hyperlink_344" Type="http://schemas.openxmlformats.org/officeDocument/2006/relationships/hyperlink" Target="https://www.bb-salut.ru/product/fejerverk-vh080-25-01-shturval" TargetMode="External"/><Relationship Id="rId_hyperlink_345" Type="http://schemas.openxmlformats.org/officeDocument/2006/relationships/hyperlink" Target="https://www.youtube.com/watch?v=n5pZy66w1Hs" TargetMode="External"/><Relationship Id="rId_hyperlink_346" Type="http://schemas.openxmlformats.org/officeDocument/2006/relationships/hyperlink" Target="https://www.bb-salut.ru/product/fejerverk-vh080-25-02-gulden" TargetMode="External"/><Relationship Id="rId_hyperlink_347" Type="http://schemas.openxmlformats.org/officeDocument/2006/relationships/hyperlink" Target="https://www.youtube.com/watch?v=5RwT2xy0SPI" TargetMode="External"/><Relationship Id="rId_hyperlink_348" Type="http://schemas.openxmlformats.org/officeDocument/2006/relationships/hyperlink" Target="https://www.bb-salut.ru/product/fejerverk-vh080-300-01-kraken" TargetMode="External"/><Relationship Id="rId_hyperlink_349" Type="http://schemas.openxmlformats.org/officeDocument/2006/relationships/hyperlink" Target="https://www.youtube.com/watch?v=AW4lCi9n64E" TargetMode="External"/><Relationship Id="rId_hyperlink_350" Type="http://schemas.openxmlformats.org/officeDocument/2006/relationships/hyperlink" Target="https://www.bb-salut.ru/product/fejerverk-vh080-30-01-gorod-utrekht" TargetMode="External"/><Relationship Id="rId_hyperlink_351" Type="http://schemas.openxmlformats.org/officeDocument/2006/relationships/hyperlink" Target="https://www.youtube.com/watch?v=BRhEojTu3Qg" TargetMode="External"/><Relationship Id="rId_hyperlink_352" Type="http://schemas.openxmlformats.org/officeDocument/2006/relationships/hyperlink" Target="https://www.bb-salut.ru/product/fejerverk-vh080-36-01-serebryanye-konki-silver-skates" TargetMode="External"/><Relationship Id="rId_hyperlink_353" Type="http://schemas.openxmlformats.org/officeDocument/2006/relationships/hyperlink" Target="https://www.youtube.com/watch?v=qJA_KWvYNSk" TargetMode="External"/><Relationship Id="rId_hyperlink_354" Type="http://schemas.openxmlformats.org/officeDocument/2006/relationships/hyperlink" Target="https://www.bb-salut.ru/product/fejerverk-vh080-64-01-ostrov-formoza" TargetMode="External"/><Relationship Id="rId_hyperlink_355" Type="http://schemas.openxmlformats.org/officeDocument/2006/relationships/hyperlink" Target="https://www.youtube.com/watch?v=Pi5CgJqXgrk" TargetMode="External"/><Relationship Id="rId_hyperlink_356" Type="http://schemas.openxmlformats.org/officeDocument/2006/relationships/hyperlink" Target="https://www.bb-salut.ru/product/fejerverk-vh100-09-01-rozarium" TargetMode="External"/><Relationship Id="rId_hyperlink_357" Type="http://schemas.openxmlformats.org/officeDocument/2006/relationships/hyperlink" Target="https://www.youtube.com/watch?v=uo130Jsibbo" TargetMode="External"/><Relationship Id="rId_hyperlink_358" Type="http://schemas.openxmlformats.org/officeDocument/2006/relationships/hyperlink" Target="https://www.bb-salut.ru/product/fejerverk-vh100-09-02-akula-haai-1-h-10" TargetMode="External"/><Relationship Id="rId_hyperlink_359" Type="http://schemas.openxmlformats.org/officeDocument/2006/relationships/hyperlink" Target="https://www.youtube.com/watch?v=0cWToCtaU-A" TargetMode="External"/><Relationship Id="rId_hyperlink_360" Type="http://schemas.openxmlformats.org/officeDocument/2006/relationships/hyperlink" Target="https://www.bb-salut.ru/product/fejerverk-vh100-12-01-korvet" TargetMode="External"/><Relationship Id="rId_hyperlink_361" Type="http://schemas.openxmlformats.org/officeDocument/2006/relationships/hyperlink" Target="https://www.youtube.com/watch?v=eNpLfVSSZq8" TargetMode="External"/><Relationship Id="rId_hyperlink_362" Type="http://schemas.openxmlformats.org/officeDocument/2006/relationships/hyperlink" Target="https://www.bb-salut.ru/product/fejerverk-vh100-19-01-rembrandt" TargetMode="External"/><Relationship Id="rId_hyperlink_363" Type="http://schemas.openxmlformats.org/officeDocument/2006/relationships/hyperlink" Target="https://www.youtube.com/watch?v=i0qVRqUDm-Q" TargetMode="External"/><Relationship Id="rId_hyperlink_364" Type="http://schemas.openxmlformats.org/officeDocument/2006/relationships/hyperlink" Target="https://www.bb-salut.ru/product/fejerverk-vh100-20-01-kompas" TargetMode="External"/><Relationship Id="rId_hyperlink_365" Type="http://schemas.openxmlformats.org/officeDocument/2006/relationships/hyperlink" Target="https://www.youtube.com/watch?v=ImQ7xqt5bAE" TargetMode="External"/><Relationship Id="rId_hyperlink_366" Type="http://schemas.openxmlformats.org/officeDocument/2006/relationships/hyperlink" Target="https://www.bb-salut.ru/product/fejerverk-vh100-25-01-globus" TargetMode="External"/><Relationship Id="rId_hyperlink_367" Type="http://schemas.openxmlformats.org/officeDocument/2006/relationships/hyperlink" Target="https://www.youtube.com/watch?v=e7xT-8j8x3w" TargetMode="External"/><Relationship Id="rId_hyperlink_368" Type="http://schemas.openxmlformats.org/officeDocument/2006/relationships/hyperlink" Target="https://www.bb-salut.ru/product/fejerverk-vh100-25-02-flotiliya" TargetMode="External"/><Relationship Id="rId_hyperlink_369" Type="http://schemas.openxmlformats.org/officeDocument/2006/relationships/hyperlink" Target="https://www.youtube.com/watch?v=_1vi15-Uqdg" TargetMode="External"/><Relationship Id="rId_hyperlink_370" Type="http://schemas.openxmlformats.org/officeDocument/2006/relationships/hyperlink" Target="https://www.bb-salut.ru/product/fejerverk-vh100-36-01-ratusha" TargetMode="External"/><Relationship Id="rId_hyperlink_371" Type="http://schemas.openxmlformats.org/officeDocument/2006/relationships/hyperlink" Target="https://www.youtube.com/watch?v=K_u44j-j5ko" TargetMode="External"/><Relationship Id="rId_hyperlink_372" Type="http://schemas.openxmlformats.org/officeDocument/2006/relationships/hyperlink" Target="https://www.bb-salut.ru/product/fejerverk-vh100-66-01-nautilus" TargetMode="External"/><Relationship Id="rId_hyperlink_373" Type="http://schemas.openxmlformats.org/officeDocument/2006/relationships/hyperlink" Target="https://www.youtube.com/watch?v=5wFJ7kFHbhg" TargetMode="External"/><Relationship Id="rId_hyperlink_374" Type="http://schemas.openxmlformats.org/officeDocument/2006/relationships/hyperlink" Target="https://www.bb-salut.ru/product/fejerverk-vh100-100-01-amsterdam" TargetMode="External"/><Relationship Id="rId_hyperlink_375" Type="http://schemas.openxmlformats.org/officeDocument/2006/relationships/hyperlink" Target="https://www.youtube.com/watch?v=j7FZPge_Hpc" TargetMode="External"/><Relationship Id="rId_hyperlink_376" Type="http://schemas.openxmlformats.org/officeDocument/2006/relationships/hyperlink" Target="https://www.bb-salut.ru/product/fejerverk-vh120-19-01-vetryanaya-melnica" TargetMode="External"/><Relationship Id="rId_hyperlink_377" Type="http://schemas.openxmlformats.org/officeDocument/2006/relationships/hyperlink" Target="https://www.youtube.com/watch?v=_HqboBUrHJo" TargetMode="External"/><Relationship Id="rId_hyperlink_378" Type="http://schemas.openxmlformats.org/officeDocument/2006/relationships/hyperlink" Target="https://www.bb-salut.ru/product/fejerverk-vh-fan-02-kyurasao" TargetMode="External"/><Relationship Id="rId_hyperlink_379" Type="http://schemas.openxmlformats.org/officeDocument/2006/relationships/hyperlink" Target="https://www.youtube.com/watch?v=FbA2NxIQbD4" TargetMode="External"/><Relationship Id="rId_hyperlink_380" Type="http://schemas.openxmlformats.org/officeDocument/2006/relationships/hyperlink" Target="https://www.bb-salut.ru/product/fejerverk-vh-fan-04-tasmaniya" TargetMode="External"/><Relationship Id="rId_hyperlink_381" Type="http://schemas.openxmlformats.org/officeDocument/2006/relationships/hyperlink" Target="https://www.youtube.com/watch?v=NsmoGTNErWc" TargetMode="External"/><Relationship Id="rId_hyperlink_382" Type="http://schemas.openxmlformats.org/officeDocument/2006/relationships/hyperlink" Target="https://www.bb-salut.ru/product/fejerverk-fontan-gw218-89-balet-balet-0-8-h-11" TargetMode="External"/><Relationship Id="rId_hyperlink_383" Type="http://schemas.openxmlformats.org/officeDocument/2006/relationships/hyperlink" Target="https://www.youtube.com/watch?v=dhnkGBi4xQM" TargetMode="External"/><Relationship Id="rId_hyperlink_384" Type="http://schemas.openxmlformats.org/officeDocument/2006/relationships/hyperlink" Target="https://www.bb-salut.ru/product/fejerverk-gw218-93-krasochnyj-mir-colorfull-world" TargetMode="External"/><Relationship Id="rId_hyperlink_385" Type="http://schemas.openxmlformats.org/officeDocument/2006/relationships/hyperlink" Target="https://www.youtube.com/watch?v=7RLDuxs81SM" TargetMode="External"/><Relationship Id="rId_hyperlink_386" Type="http://schemas.openxmlformats.org/officeDocument/2006/relationships/hyperlink" Target="https://www.bb-salut.ru/product/fejerverk-gp485-kalejdoskop" TargetMode="External"/><Relationship Id="rId_hyperlink_387" Type="http://schemas.openxmlformats.org/officeDocument/2006/relationships/hyperlink" Target="https://www.youtube.com/watch?v=2koygNc9dNs" TargetMode="External"/><Relationship Id="rId_hyperlink_388" Type="http://schemas.openxmlformats.org/officeDocument/2006/relationships/hyperlink" Target="https://www.bb-salut.ru/product/fejerverk-gp498-2-sofiya" TargetMode="External"/><Relationship Id="rId_hyperlink_389" Type="http://schemas.openxmlformats.org/officeDocument/2006/relationships/hyperlink" Target="https://www.youtube.com/watch?v=G6phnUNkO5g" TargetMode="External"/><Relationship Id="rId_hyperlink_390" Type="http://schemas.openxmlformats.org/officeDocument/2006/relationships/hyperlink" Target="https://www.bb-salut.ru/product/fejerverk-sb-19-01-subbotnij-vecher-saturday-1-2-h-19" TargetMode="External"/><Relationship Id="rId_hyperlink_391" Type="http://schemas.openxmlformats.org/officeDocument/2006/relationships/hyperlink" Target="https://www.youtube.com/watch?v=4w76U_IKScM" TargetMode="External"/><Relationship Id="rId_hyperlink_392" Type="http://schemas.openxmlformats.org/officeDocument/2006/relationships/hyperlink" Target="https://www.bb-salut.ru/product/fejerverk-k1130c12-katyusha-100-saturn-missile-battery" TargetMode="External"/><Relationship Id="rId_hyperlink_393" Type="http://schemas.openxmlformats.org/officeDocument/2006/relationships/hyperlink" Target="https://www.bb-salut.ru/product/fejerverk-k1130c7-katyusha-25-saturn-missile-battery" TargetMode="External"/><Relationship Id="rId_hyperlink_394" Type="http://schemas.openxmlformats.org/officeDocument/2006/relationships/hyperlink" Target="https://www.bb-salut.ru/product/fejerverk-gp487-sweet-dream" TargetMode="External"/><Relationship Id="rId_hyperlink_395" Type="http://schemas.openxmlformats.org/officeDocument/2006/relationships/hyperlink" Target="https://www.youtube.com/watch?v=f8WYkVrQF-w" TargetMode="External"/><Relationship Id="rId_hyperlink_396" Type="http://schemas.openxmlformats.org/officeDocument/2006/relationships/hyperlink" Target="https://www.bb-salut.ru/product/fejerverk-ms114-zolotoj-pauk" TargetMode="External"/><Relationship Id="rId_hyperlink_397" Type="http://schemas.openxmlformats.org/officeDocument/2006/relationships/hyperlink" Target="https://www.youtube.com/watch?v=ETfni_bltz0" TargetMode="External"/><Relationship Id="rId_hyperlink_398" Type="http://schemas.openxmlformats.org/officeDocument/2006/relationships/hyperlink" Target="https://www.bb-salut.ru/product/fejerverk-ms119-pago-pago" TargetMode="External"/><Relationship Id="rId_hyperlink_399" Type="http://schemas.openxmlformats.org/officeDocument/2006/relationships/hyperlink" Target="https://www.youtube.com/watch?v=Zn6UaX16HqE" TargetMode="External"/><Relationship Id="rId_hyperlink_400" Type="http://schemas.openxmlformats.org/officeDocument/2006/relationships/hyperlink" Target="https://www.bb-salut.ru/product/fejerverk-mc120-korabl-olimpic" TargetMode="External"/><Relationship Id="rId_hyperlink_401" Type="http://schemas.openxmlformats.org/officeDocument/2006/relationships/hyperlink" Target="https://www.youtube.com/watch?v=be8_F0Z1DQs" TargetMode="External"/><Relationship Id="rId_hyperlink_402" Type="http://schemas.openxmlformats.org/officeDocument/2006/relationships/hyperlink" Target="https://www.bb-salut.ru/product/fejerverk-ms121-cvetnaya-feeriya" TargetMode="External"/><Relationship Id="rId_hyperlink_403" Type="http://schemas.openxmlformats.org/officeDocument/2006/relationships/hyperlink" Target="https://www.youtube.com/watch?v=x8BNnf7SgaQ" TargetMode="External"/><Relationship Id="rId_hyperlink_404" Type="http://schemas.openxmlformats.org/officeDocument/2006/relationships/hyperlink" Target="https://www.bb-salut.ru/product/fejerverk-mc125-udarnaya-volna-sonic-boom" TargetMode="External"/><Relationship Id="rId_hyperlink_405" Type="http://schemas.openxmlformats.org/officeDocument/2006/relationships/hyperlink" Target="https://www.youtube.com/watch?v=ndRFp1wyenI" TargetMode="External"/><Relationship Id="rId_hyperlink_406" Type="http://schemas.openxmlformats.org/officeDocument/2006/relationships/hyperlink" Target="https://www.bb-salut.ru/product/fejerverk-mc141-radostnaya-kartina-moving-painter" TargetMode="External"/><Relationship Id="rId_hyperlink_407" Type="http://schemas.openxmlformats.org/officeDocument/2006/relationships/hyperlink" Target="https://www.youtube.com/watch?v=oBYR9-q7sHU" TargetMode="External"/><Relationship Id="rId_hyperlink_408" Type="http://schemas.openxmlformats.org/officeDocument/2006/relationships/hyperlink" Target="https://www.bb-salut.ru/product/fejerverk-pku3201-smuglyanochka" TargetMode="External"/><Relationship Id="rId_hyperlink_409" Type="http://schemas.openxmlformats.org/officeDocument/2006/relationships/hyperlink" Target="https://www.youtube.com/watch?v=FM_wb5-26A8" TargetMode="External"/><Relationship Id="rId_hyperlink_410" Type="http://schemas.openxmlformats.org/officeDocument/2006/relationships/hyperlink" Target="https://www.bb-salut.ru/product/fejerverk-pku350-semicvetik" TargetMode="External"/><Relationship Id="rId_hyperlink_411" Type="http://schemas.openxmlformats.org/officeDocument/2006/relationships/hyperlink" Target="https://www.youtube.com/watch?v=UB6Um_rxvc8" TargetMode="External"/><Relationship Id="rId_hyperlink_412" Type="http://schemas.openxmlformats.org/officeDocument/2006/relationships/hyperlink" Target="https://www.bb-salut.ru/product/fejerverk-fontan-jf-k1836-balet" TargetMode="External"/><Relationship Id="rId_hyperlink_413" Type="http://schemas.openxmlformats.org/officeDocument/2006/relationships/hyperlink" Target="https://www.youtube.com/watch?v=6Dc_pfclGzU" TargetMode="External"/><Relationship Id="rId_hyperlink_414" Type="http://schemas.openxmlformats.org/officeDocument/2006/relationships/hyperlink" Target="https://www.bb-salut.ru/product/fejerverk-jf-mc25-100-01-novogodnij-zalp" TargetMode="External"/><Relationship Id="rId_hyperlink_415" Type="http://schemas.openxmlformats.org/officeDocument/2006/relationships/hyperlink" Target="https://www.youtube.com/watch?v=wrIFEmRzIDM" TargetMode="External"/><Relationship Id="rId_hyperlink_416" Type="http://schemas.openxmlformats.org/officeDocument/2006/relationships/hyperlink" Target="https://www.bb-salut.ru/product/fejerverk-jf-mcp-100-drazhe" TargetMode="External"/><Relationship Id="rId_hyperlink_417" Type="http://schemas.openxmlformats.org/officeDocument/2006/relationships/hyperlink" Target="https://www.youtube.com/watch?v=79XVa7wBZSU" TargetMode="External"/><Relationship Id="rId_hyperlink_418" Type="http://schemas.openxmlformats.org/officeDocument/2006/relationships/hyperlink" Target="https://www.bb-salut.ru/product/fejerverk-jf-mcp-25-zefirka" TargetMode="External"/><Relationship Id="rId_hyperlink_419" Type="http://schemas.openxmlformats.org/officeDocument/2006/relationships/hyperlink" Target="https://www.youtube.com/watch?v=IMoMqHvQGIo" TargetMode="External"/><Relationship Id="rId_hyperlink_420" Type="http://schemas.openxmlformats.org/officeDocument/2006/relationships/hyperlink" Target="https://www.bb-salut.ru/product/fejerverk-jf-mcp-50-ledenec" TargetMode="External"/><Relationship Id="rId_hyperlink_421" Type="http://schemas.openxmlformats.org/officeDocument/2006/relationships/hyperlink" Target="https://www.youtube.com/watch?v=BpWbEu8YO4Q" TargetMode="External"/><Relationship Id="rId_hyperlink_422" Type="http://schemas.openxmlformats.org/officeDocument/2006/relationships/hyperlink" Target="https://www.bb-salut.ru/product/fejerverk-jfc26-mulen-ruzh" TargetMode="External"/><Relationship Id="rId_hyperlink_423" Type="http://schemas.openxmlformats.org/officeDocument/2006/relationships/hyperlink" Target="https://www.youtube.com/watch?v=6deFNzRorRA" TargetMode="External"/><Relationship Id="rId_hyperlink_424" Type="http://schemas.openxmlformats.org/officeDocument/2006/relationships/hyperlink" Target="https://www.bb-salut.ru/product/fejerverk-ss7242-bum-bastik" TargetMode="External"/><Relationship Id="rId_hyperlink_425" Type="http://schemas.openxmlformats.org/officeDocument/2006/relationships/hyperlink" Target="https://www.youtube.com/watch?v=IJ1HWdHD6ls" TargetMode="External"/><Relationship Id="rId_hyperlink_426" Type="http://schemas.openxmlformats.org/officeDocument/2006/relationships/hyperlink" Target="https://www.bb-salut.ru/product/fejerverk-cc7270-burlesk" TargetMode="External"/><Relationship Id="rId_hyperlink_427" Type="http://schemas.openxmlformats.org/officeDocument/2006/relationships/hyperlink" Target="https://www.youtube.com/watch?v=8QrJWydShaA" TargetMode="External"/><Relationship Id="rId_hyperlink_428" Type="http://schemas.openxmlformats.org/officeDocument/2006/relationships/hyperlink" Target="https://www.bb-salut.ru/product/fejerverk-cc7283-ded-veselchak" TargetMode="External"/><Relationship Id="rId_hyperlink_429" Type="http://schemas.openxmlformats.org/officeDocument/2006/relationships/hyperlink" Target="https://www.youtube.com/watch?v=w1oodRl1Ddw" TargetMode="External"/><Relationship Id="rId_hyperlink_430" Type="http://schemas.openxmlformats.org/officeDocument/2006/relationships/hyperlink" Target="https://www.bb-salut.ru/product/fejerverk-ss7285-krasavica-zima" TargetMode="External"/><Relationship Id="rId_hyperlink_431" Type="http://schemas.openxmlformats.org/officeDocument/2006/relationships/hyperlink" Target="https://www.youtube.com/watch?v=tlJ06haqMOs" TargetMode="External"/><Relationship Id="rId_hyperlink_432" Type="http://schemas.openxmlformats.org/officeDocument/2006/relationships/hyperlink" Target="https://www.bb-salut.ru/product/fejeverk-cc7295-millenium" TargetMode="External"/><Relationship Id="rId_hyperlink_433" Type="http://schemas.openxmlformats.org/officeDocument/2006/relationships/hyperlink" Target="https://www.youtube.com/watch?v=3JznS9I1u-c" TargetMode="External"/><Relationship Id="rId_hyperlink_434" Type="http://schemas.openxmlformats.org/officeDocument/2006/relationships/hyperlink" Target="https://www.bb-salut.ru/product/fejerverk-ss7582-moroznye-uzory" TargetMode="External"/><Relationship Id="rId_hyperlink_435" Type="http://schemas.openxmlformats.org/officeDocument/2006/relationships/hyperlink" Target="https://www.youtube.com/watch?v=ZDIzXqKUM0I" TargetMode="External"/><Relationship Id="rId_hyperlink_436" Type="http://schemas.openxmlformats.org/officeDocument/2006/relationships/hyperlink" Target="https://www.bb-salut.ru/product/fejerverk-ss7734-dari-radost" TargetMode="External"/><Relationship Id="rId_hyperlink_437" Type="http://schemas.openxmlformats.org/officeDocument/2006/relationships/hyperlink" Target="https://www.youtube.com/watch?v=WAxFKUMwgxs" TargetMode="External"/><Relationship Id="rId_hyperlink_438" Type="http://schemas.openxmlformats.org/officeDocument/2006/relationships/hyperlink" Target="https://www.bb-salut.ru/product/fejerverk-ss7735-elochka-krasavica" TargetMode="External"/><Relationship Id="rId_hyperlink_439" Type="http://schemas.openxmlformats.org/officeDocument/2006/relationships/hyperlink" Target="https://www.youtube.com/watch?v=Y_j_b-8ZhuI" TargetMode="External"/><Relationship Id="rId_hyperlink_440" Type="http://schemas.openxmlformats.org/officeDocument/2006/relationships/hyperlink" Target="https://www.bb-salut.ru/product/fejerverk-ss7747-shariki-dlya-elochki" TargetMode="External"/><Relationship Id="rId_hyperlink_441" Type="http://schemas.openxmlformats.org/officeDocument/2006/relationships/hyperlink" Target="https://www.youtube.com/watch?v=46s8OIkxMQE" TargetMode="External"/><Relationship Id="rId_hyperlink_442" Type="http://schemas.openxmlformats.org/officeDocument/2006/relationships/hyperlink" Target="https://www.bb-salut.ru/product/fejeverk-cc8105-salyut-goda" TargetMode="External"/><Relationship Id="rId_hyperlink_443" Type="http://schemas.openxmlformats.org/officeDocument/2006/relationships/hyperlink" Target="https://www.youtube.com/watch?v=cLq09a_7BvU" TargetMode="External"/><Relationship Id="rId_hyperlink_444" Type="http://schemas.openxmlformats.org/officeDocument/2006/relationships/hyperlink" Target="https://www.bb-salut.ru/product/fejerverk-cc8853-zubrokotavr" TargetMode="External"/><Relationship Id="rId_hyperlink_445" Type="http://schemas.openxmlformats.org/officeDocument/2006/relationships/hyperlink" Target="https://www.youtube.com/watch?v=GjjkjdxFU_U" TargetMode="External"/><Relationship Id="rId_hyperlink_446" Type="http://schemas.openxmlformats.org/officeDocument/2006/relationships/hyperlink" Target="https://www.bb-salut.ru/product/fejerverk-rk7681-alkogolichka" TargetMode="External"/><Relationship Id="rId_hyperlink_447" Type="http://schemas.openxmlformats.org/officeDocument/2006/relationships/hyperlink" Target="https://www.youtube.com/watch?v=P8TEl6ZPIss" TargetMode="External"/><Relationship Id="rId_hyperlink_448" Type="http://schemas.openxmlformats.org/officeDocument/2006/relationships/hyperlink" Target="https://www.bb-salut.ru/product/fejeverk-pk9040-gavrila" TargetMode="External"/><Relationship Id="rId_hyperlink_449" Type="http://schemas.openxmlformats.org/officeDocument/2006/relationships/hyperlink" Target="https://www.youtube.com/watch?v=2sRqukyOcAE" TargetMode="External"/><Relationship Id="rId_hyperlink_450" Type="http://schemas.openxmlformats.org/officeDocument/2006/relationships/hyperlink" Target="https://www.bb-salut.ru/product/dnevnoj-fejerverk-rs356-dym-veerom" TargetMode="External"/><Relationship Id="rId_hyperlink_451" Type="http://schemas.openxmlformats.org/officeDocument/2006/relationships/hyperlink" Target="https://www.youtube.com/watch?v=L-xavm4Mo0Q" TargetMode="External"/><Relationship Id="rId_hyperlink_452" Type="http://schemas.openxmlformats.org/officeDocument/2006/relationships/hyperlink" Target="https://www.bb-salut.ru/product/dnevnoj-fejerverk-jf-dmc30-20-02-r-kraski-dnya-krasnyj-dym" TargetMode="External"/><Relationship Id="rId_hyperlink_453" Type="http://schemas.openxmlformats.org/officeDocument/2006/relationships/hyperlink" Target="https://www.youtube.com/watch?v=yu7l773DnDM" TargetMode="External"/><Relationship Id="rId_hyperlink_454" Type="http://schemas.openxmlformats.org/officeDocument/2006/relationships/hyperlink" Target="https://www.bb-salut.ru/product/dnevnoj-fejerverk-jf-dmc30-20-02-w-kraski-dnya-belyj-dym" TargetMode="External"/><Relationship Id="rId_hyperlink_455" Type="http://schemas.openxmlformats.org/officeDocument/2006/relationships/hyperlink" Target="https://www.bb-salut.ru/product/dnevnoj-fejerverk-jf-dmc30-20-02-b-kraski-dnya-sinij-dym" TargetMode="External"/><Relationship Id="rId_hyperlink_456" Type="http://schemas.openxmlformats.org/officeDocument/2006/relationships/hyperlink" Target="https://www.bb-salut.ru/product/petardy-p1030-hlopayushchie-shary" TargetMode="External"/><Relationship Id="rId_hyperlink_457" Type="http://schemas.openxmlformats.org/officeDocument/2006/relationships/hyperlink" Target="https://www.youtube.com/watch?v=jzqg5fO55kc" TargetMode="External"/><Relationship Id="rId_hyperlink_458" Type="http://schemas.openxmlformats.org/officeDocument/2006/relationships/hyperlink" Target="https://www.bb-salut.ru/product/petardy-r1032-vspysh" TargetMode="External"/><Relationship Id="rId_hyperlink_459" Type="http://schemas.openxmlformats.org/officeDocument/2006/relationships/hyperlink" Target="https://www.youtube.com/watch?v=dnpiqzIzLRA" TargetMode="External"/><Relationship Id="rId_hyperlink_460" Type="http://schemas.openxmlformats.org/officeDocument/2006/relationships/hyperlink" Target="https://www.bb-salut.ru/product/petardy-r1042-tushi-svet" TargetMode="External"/><Relationship Id="rId_hyperlink_461" Type="http://schemas.openxmlformats.org/officeDocument/2006/relationships/hyperlink" Target="https://www.youtube.com/watch?v=t5Ssd9l8PHQ" TargetMode="External"/><Relationship Id="rId_hyperlink_462" Type="http://schemas.openxmlformats.org/officeDocument/2006/relationships/hyperlink" Target="https://www.bb-salut.ru/product/petardy-r1062-bez-bashni" TargetMode="External"/><Relationship Id="rId_hyperlink_463" Type="http://schemas.openxmlformats.org/officeDocument/2006/relationships/hyperlink" Target="https://www.youtube.com/watch?v=cUGVUaI7UUA" TargetMode="External"/><Relationship Id="rId_hyperlink_464" Type="http://schemas.openxmlformats.org/officeDocument/2006/relationships/hyperlink" Target="https://www.bb-salut.ru/product/petardy-r1083-buldog" TargetMode="External"/><Relationship Id="rId_hyperlink_465" Type="http://schemas.openxmlformats.org/officeDocument/2006/relationships/hyperlink" Target="https://www.bb-salut.ru/product/petardy-r1088-alabaj" TargetMode="External"/><Relationship Id="rId_hyperlink_466" Type="http://schemas.openxmlformats.org/officeDocument/2006/relationships/hyperlink" Target="https://www.bb-salut.ru/product/petardy-r1095-volkodav" TargetMode="External"/><Relationship Id="rId_hyperlink_467" Type="http://schemas.openxmlformats.org/officeDocument/2006/relationships/hyperlink" Target="https://www.bb-salut.ru/product/petardy-p1096-k-16-korsar-16" TargetMode="External"/><Relationship Id="rId_hyperlink_468" Type="http://schemas.openxmlformats.org/officeDocument/2006/relationships/hyperlink" Target="https://www.bb-salut.ru/product/petardy-p1106-korsar-1" TargetMode="External"/><Relationship Id="rId_hyperlink_469" Type="http://schemas.openxmlformats.org/officeDocument/2006/relationships/hyperlink" Target="https://www.bb-salut.ru/product/petardy-p1202-korsar-2" TargetMode="External"/><Relationship Id="rId_hyperlink_470" Type="http://schemas.openxmlformats.org/officeDocument/2006/relationships/hyperlink" Target="https://www.bb-salut.ru/product/petardy-p1301-korsar-3" TargetMode="External"/><Relationship Id="rId_hyperlink_471" Type="http://schemas.openxmlformats.org/officeDocument/2006/relationships/hyperlink" Target="https://www.bb-salut.ru/product/petardy-r1320-bam-buh-korsar-3-dva-baha" TargetMode="External"/><Relationship Id="rId_hyperlink_472" Type="http://schemas.openxmlformats.org/officeDocument/2006/relationships/hyperlink" Target="https://www.bb-salut.ru/product/petardy-p1400-korsar-4" TargetMode="External"/><Relationship Id="rId_hyperlink_473" Type="http://schemas.openxmlformats.org/officeDocument/2006/relationships/hyperlink" Target="https://www.bb-salut.ru/product/petardy-r1601-k-6-korsar-6" TargetMode="External"/><Relationship Id="rId_hyperlink_474" Type="http://schemas.openxmlformats.org/officeDocument/2006/relationships/hyperlink" Target="https://www.bb-salut.ru/product/petardy-rs021-komanda-kapitana-morgana" TargetMode="External"/><Relationship Id="rId_hyperlink_475" Type="http://schemas.openxmlformats.org/officeDocument/2006/relationships/hyperlink" Target="https://www.youtube.com/watch?v=fGukPnunihw" TargetMode="External"/><Relationship Id="rId_hyperlink_476" Type="http://schemas.openxmlformats.org/officeDocument/2006/relationships/hyperlink" Target="https://www.bb-salut.ru/product/petardy-pc022-korsar-2" TargetMode="External"/><Relationship Id="rId_hyperlink_477" Type="http://schemas.openxmlformats.org/officeDocument/2006/relationships/hyperlink" Target="https://www.youtube.com/watch?v=2hT6gTir_vQ" TargetMode="External"/><Relationship Id="rId_hyperlink_478" Type="http://schemas.openxmlformats.org/officeDocument/2006/relationships/hyperlink" Target="https://www.bb-salut.ru/product/petardy-pc023-korsar-3" TargetMode="External"/><Relationship Id="rId_hyperlink_479" Type="http://schemas.openxmlformats.org/officeDocument/2006/relationships/hyperlink" Target="https://www.youtube.com/watch?v=qPm02aMLtHA" TargetMode="External"/><Relationship Id="rId_hyperlink_480" Type="http://schemas.openxmlformats.org/officeDocument/2006/relationships/hyperlink" Target="https://www.bb-salut.ru/product/petardy-rs0525-komanda-korsara-morgana-5f-korsar-5-fitilnyj" TargetMode="External"/><Relationship Id="rId_hyperlink_481" Type="http://schemas.openxmlformats.org/officeDocument/2006/relationships/hyperlink" Target="https://www.youtube.com/watch?v=lJX8JVUcWps" TargetMode="External"/><Relationship Id="rId_hyperlink_482" Type="http://schemas.openxmlformats.org/officeDocument/2006/relationships/hyperlink" Target="https://www.bb-salut.ru/product/petardy-rs0625-komanda-korsara-morgana-6f-korsar-6-fitilnyj" TargetMode="External"/><Relationship Id="rId_hyperlink_483" Type="http://schemas.openxmlformats.org/officeDocument/2006/relationships/hyperlink" Target="https://www.youtube.com/watch?v=w_dORribTxA" TargetMode="External"/><Relationship Id="rId_hyperlink_484" Type="http://schemas.openxmlformats.org/officeDocument/2006/relationships/hyperlink" Target="https://www.bb-salut.ru/product/petardy-rs0720-komanda-korsara-morgana-7f-korsar-7-fitilnyj" TargetMode="External"/><Relationship Id="rId_hyperlink_485" Type="http://schemas.openxmlformats.org/officeDocument/2006/relationships/hyperlink" Target="https://www.bb-salut.ru/product/petardy-rs0820-komanda-korsara-morgana-8f-korsar-8-fitilnyj" TargetMode="External"/><Relationship Id="rId_hyperlink_486" Type="http://schemas.openxmlformats.org/officeDocument/2006/relationships/hyperlink" Target="https://www.bb-salut.ru/product/petardy-rs0920-komanda-korsara-morgana-9f-korsar-9-fitilnyj" TargetMode="External"/><Relationship Id="rId_hyperlink_487" Type="http://schemas.openxmlformats.org/officeDocument/2006/relationships/hyperlink" Target="https://www.bb-salut.ru/product/petardy-pc135-talisman" TargetMode="External"/><Relationship Id="rId_hyperlink_488" Type="http://schemas.openxmlformats.org/officeDocument/2006/relationships/hyperlink" Target="https://www.youtube.com/watch?v=5Z34G6_Q4yA" TargetMode="External"/><Relationship Id="rId_hyperlink_489" Type="http://schemas.openxmlformats.org/officeDocument/2006/relationships/hyperlink" Target="https://www.bb-salut.ru/product/petardy-rs1235-pulemetnaya-lenta-500" TargetMode="External"/><Relationship Id="rId_hyperlink_490" Type="http://schemas.openxmlformats.org/officeDocument/2006/relationships/hyperlink" Target="https://www.youtube.com/watch?v=gLssnndkPEw" TargetMode="External"/><Relationship Id="rId_hyperlink_491" Type="http://schemas.openxmlformats.org/officeDocument/2006/relationships/hyperlink" Target="https://www.bb-salut.ru/product/petardy-rs1300-gremuchij-goroh-chesnok" TargetMode="External"/><Relationship Id="rId_hyperlink_492" Type="http://schemas.openxmlformats.org/officeDocument/2006/relationships/hyperlink" Target="https://www.youtube.com/watch?v=c5mPwKe28kw" TargetMode="External"/><Relationship Id="rId_hyperlink_493" Type="http://schemas.openxmlformats.org/officeDocument/2006/relationships/hyperlink" Target="https://www.bb-salut.ru/product/petardy-k0201-corsar" TargetMode="External"/><Relationship Id="rId_hyperlink_494" Type="http://schemas.openxmlformats.org/officeDocument/2006/relationships/hyperlink" Target="https://www.youtube.com/watch?v=D9D4xtOUPPc" TargetMode="External"/><Relationship Id="rId_hyperlink_495" Type="http://schemas.openxmlformats.org/officeDocument/2006/relationships/hyperlink" Target="https://www.bb-salut.ru/product/petardy-k0203-2-green-little-pirat-korsar-3-dvoinoi-hlopok" TargetMode="External"/><Relationship Id="rId_hyperlink_496" Type="http://schemas.openxmlformats.org/officeDocument/2006/relationships/hyperlink" Target="https://www.youtube.com/watch?v=d2RUE-1eu_g" TargetMode="External"/><Relationship Id="rId_hyperlink_497" Type="http://schemas.openxmlformats.org/officeDocument/2006/relationships/hyperlink" Target="https://www.bb-salut.ru/product/petardy-k0203-3-petardy-korsar-3-tri-hlopka" TargetMode="External"/><Relationship Id="rId_hyperlink_498" Type="http://schemas.openxmlformats.org/officeDocument/2006/relationships/hyperlink" Target="https://www.youtube.com/watch?v=jCm61q6BvZc" TargetMode="External"/><Relationship Id="rId_hyperlink_499" Type="http://schemas.openxmlformats.org/officeDocument/2006/relationships/hyperlink" Target="https://www.bb-salut.ru/product/petardy-k0204-pirate" TargetMode="External"/><Relationship Id="rId_hyperlink_500" Type="http://schemas.openxmlformats.org/officeDocument/2006/relationships/hyperlink" Target="https://www.bb-salut.ru/product/petardy-p1004-strzelajace-diabelki-chesnok" TargetMode="External"/><Relationship Id="rId_hyperlink_501" Type="http://schemas.openxmlformats.org/officeDocument/2006/relationships/hyperlink" Target="https://www.bb-salut.ru/product/petardy-p1004l-big-snaper-krupnyj-chesnok" TargetMode="External"/><Relationship Id="rId_hyperlink_502" Type="http://schemas.openxmlformats.org/officeDocument/2006/relationships/hyperlink" Target="https://www.bb-salut.ru/product/petardy-p20-vzryvchatka-explosive" TargetMode="External"/><Relationship Id="rId_hyperlink_503" Type="http://schemas.openxmlformats.org/officeDocument/2006/relationships/hyperlink" Target="https://www.bb-salut.ru/product/petardy-p750-mega-piratka" TargetMode="External"/><Relationship Id="rId_hyperlink_504" Type="http://schemas.openxmlformats.org/officeDocument/2006/relationships/hyperlink" Target="https://www.bb-salut.ru/product/petardy-pm081-flint" TargetMode="External"/><Relationship Id="rId_hyperlink_505" Type="http://schemas.openxmlformats.org/officeDocument/2006/relationships/hyperlink" Target="https://www.bb-salut.ru/product/petardy-pm082-madame-ching" TargetMode="External"/><Relationship Id="rId_hyperlink_506" Type="http://schemas.openxmlformats.org/officeDocument/2006/relationships/hyperlink" Target="https://www.bb-salut.ru/product/petardy-pm095-yo-ho-ho" TargetMode="External"/><Relationship Id="rId_hyperlink_507" Type="http://schemas.openxmlformats.org/officeDocument/2006/relationships/hyperlink" Target="https://www.bb-salut.ru/product/petardy-pkz0600-zhgut" TargetMode="External"/><Relationship Id="rId_hyperlink_508" Type="http://schemas.openxmlformats.org/officeDocument/2006/relationships/hyperlink" Target="https://www.bb-salut.ru/product/petardy-jf0004-granata-limonka-s-chekoj" TargetMode="External"/><Relationship Id="rId_hyperlink_509" Type="http://schemas.openxmlformats.org/officeDocument/2006/relationships/hyperlink" Target="https://www.bb-salut.ru/product/petardy-jf-0077-op-hlop" TargetMode="External"/><Relationship Id="rId_hyperlink_510" Type="http://schemas.openxmlformats.org/officeDocument/2006/relationships/hyperlink" Target="https://www.bb-salut.ru/product/petardy-jfs9-bomba" TargetMode="External"/><Relationship Id="rId_hyperlink_511" Type="http://schemas.openxmlformats.org/officeDocument/2006/relationships/hyperlink" Target="https://www.youtube.com/watch?v=Hkg6702_DRY" TargetMode="External"/><Relationship Id="rId_hyperlink_512" Type="http://schemas.openxmlformats.org/officeDocument/2006/relationships/hyperlink" Target="https://www.bb-salut.ru/product/petardy-jf-k0201-chyornaya-drob" TargetMode="External"/><Relationship Id="rId_hyperlink_513" Type="http://schemas.openxmlformats.org/officeDocument/2006/relationships/hyperlink" Target="https://www.youtube.com/watch?v=7cUEYNq32l4" TargetMode="External"/><Relationship Id="rId_hyperlink_514" Type="http://schemas.openxmlformats.org/officeDocument/2006/relationships/hyperlink" Target="https://www.bb-salut.ru/product/petardy-jf-p01-str-pulsar" TargetMode="External"/><Relationship Id="rId_hyperlink_515" Type="http://schemas.openxmlformats.org/officeDocument/2006/relationships/hyperlink" Target="https://www.youtube.com/watch?v=xWyQkRZRjTw" TargetMode="External"/><Relationship Id="rId_hyperlink_516" Type="http://schemas.openxmlformats.org/officeDocument/2006/relationships/hyperlink" Target="https://www.bb-salut.ru/product/petardy-jf-p02-sc-konfetka" TargetMode="External"/><Relationship Id="rId_hyperlink_517" Type="http://schemas.openxmlformats.org/officeDocument/2006/relationships/hyperlink" Target="https://www.bb-salut.ru/product/petardy-jf-p04-bpla-geran" TargetMode="External"/><Relationship Id="rId_hyperlink_518" Type="http://schemas.openxmlformats.org/officeDocument/2006/relationships/hyperlink" Target="https://www.bb-salut.ru/product/petardy-jf-r2000-mega-piratka-mega-piratka" TargetMode="External"/><Relationship Id="rId_hyperlink_519" Type="http://schemas.openxmlformats.org/officeDocument/2006/relationships/hyperlink" Target="https://www.youtube.com/watch?v=krc6W3l8lbs" TargetMode="External"/><Relationship Id="rId_hyperlink_520" Type="http://schemas.openxmlformats.org/officeDocument/2006/relationships/hyperlink" Target="https://www.bb-salut.ru/product/fakel-dymovoj-r1766-syurpriz-goluboj-dym-dlya-gender-pati-gender-party" TargetMode="External"/><Relationship Id="rId_hyperlink_521" Type="http://schemas.openxmlformats.org/officeDocument/2006/relationships/hyperlink" Target="https://www.bb-salut.ru/product/fakel-dymovoj-r1768-syurpriz-rozovyj-dym-dlya-gender-pati-gender-party" TargetMode="External"/><Relationship Id="rId_hyperlink_522" Type="http://schemas.openxmlformats.org/officeDocument/2006/relationships/hyperlink" Target="https://www.bb-salut.ru/product/fakel-signalnyj-krasnyj-ogon-i-dym-korpus-plastik-metall-mf-0220r" TargetMode="External"/><Relationship Id="rId_hyperlink_523" Type="http://schemas.openxmlformats.org/officeDocument/2006/relationships/hyperlink" Target="https://www.youtube.com/watch?v=Fv_xM0JRmU0" TargetMode="External"/><Relationship Id="rId_hyperlink_524" Type="http://schemas.openxmlformats.org/officeDocument/2006/relationships/hyperlink" Target="https://www.bb-salut.ru/product/fakel-pirotekhnicheskij-falshfejer-faer-krasnogo-ognya-mf-0260" TargetMode="External"/><Relationship Id="rId_hyperlink_525" Type="http://schemas.openxmlformats.org/officeDocument/2006/relationships/hyperlink" Target="https://www.youtube.com/watch?v=ZTF40KU89Nk" TargetMode="External"/><Relationship Id="rId_hyperlink_526" Type="http://schemas.openxmlformats.org/officeDocument/2006/relationships/hyperlink" Target="https://www.bb-salut.ru/product/fakel-pirotekhnicheskij-falshfejer-faer-sinego-ognya-mf-0260b-hand-flare-100-cek" TargetMode="External"/><Relationship Id="rId_hyperlink_527" Type="http://schemas.openxmlformats.org/officeDocument/2006/relationships/hyperlink" Target="https://www.bb-salut.ru/product/dymovoj-fontan-zelenyj-ma0509-g" TargetMode="External"/><Relationship Id="rId_hyperlink_528" Type="http://schemas.openxmlformats.org/officeDocument/2006/relationships/hyperlink" Target="https://www.youtube.com/watch?v=XolOtdFHKsM" TargetMode="External"/><Relationship Id="rId_hyperlink_529" Type="http://schemas.openxmlformats.org/officeDocument/2006/relationships/hyperlink" Target="https://www.bb-salut.ru/product/dymovoj-fontan-krasnyj-ma0509-r" TargetMode="External"/><Relationship Id="rId_hyperlink_530" Type="http://schemas.openxmlformats.org/officeDocument/2006/relationships/hyperlink" Target="https://www.youtube.com/watch?v=MBrgTcb8qB4" TargetMode="External"/><Relationship Id="rId_hyperlink_531" Type="http://schemas.openxmlformats.org/officeDocument/2006/relationships/hyperlink" Target="https://www.bb-salut.ru/product/dymovoj-fontan-sinij-ma0509-w" TargetMode="External"/><Relationship Id="rId_hyperlink_532" Type="http://schemas.openxmlformats.org/officeDocument/2006/relationships/hyperlink" Target="https://www.youtube.com/watch?v=wqLcJJKsKcY" TargetMode="External"/><Relationship Id="rId_hyperlink_533" Type="http://schemas.openxmlformats.org/officeDocument/2006/relationships/hyperlink" Target="https://www.bb-salut.ru/product/dymovoj-fontan-zheltyj-ma0509-y" TargetMode="External"/><Relationship Id="rId_hyperlink_534" Type="http://schemas.openxmlformats.org/officeDocument/2006/relationships/hyperlink" Target="https://www.youtube.com/watch?v=ApB8Q2HW9rs" TargetMode="External"/><Relationship Id="rId_hyperlink_535" Type="http://schemas.openxmlformats.org/officeDocument/2006/relationships/hyperlink" Target="https://www.bb-salut.ru/product/dymovoj-fontan-sinij-ma0509-b" TargetMode="External"/><Relationship Id="rId_hyperlink_536" Type="http://schemas.openxmlformats.org/officeDocument/2006/relationships/hyperlink" Target="https://www.youtube.com/watch?v=2jJB5G6fbuE" TargetMode="External"/><Relationship Id="rId_hyperlink_537" Type="http://schemas.openxmlformats.org/officeDocument/2006/relationships/hyperlink" Target="https://www.bb-salut.ru/product/dymovoj-fontan-cvetnoj-dym-bordovyj-ma0509-br" TargetMode="External"/><Relationship Id="rId_hyperlink_538" Type="http://schemas.openxmlformats.org/officeDocument/2006/relationships/hyperlink" Target="https://www.youtube.com/watch?v=vo3kuqSRmF4" TargetMode="External"/><Relationship Id="rId_hyperlink_539" Type="http://schemas.openxmlformats.org/officeDocument/2006/relationships/hyperlink" Target="https://www.bb-salut.ru/product/dymovoj-fontan-cvetnoj-dym-chernyj-ma0509-bk-maxsem" TargetMode="External"/><Relationship Id="rId_hyperlink_540" Type="http://schemas.openxmlformats.org/officeDocument/2006/relationships/hyperlink" Target="https://www.bb-salut.ru/product/dymovoj-fontan-nabor-cvetnogo-dyma-ma0509-mix-maxsem" TargetMode="External"/><Relationship Id="rId_hyperlink_541" Type="http://schemas.openxmlformats.org/officeDocument/2006/relationships/hyperlink" Target="https://www.bb-salut.ru/product/dymovoj-fontan-oranzhevyj-ma0509-o" TargetMode="External"/><Relationship Id="rId_hyperlink_542" Type="http://schemas.openxmlformats.org/officeDocument/2006/relationships/hyperlink" Target="https://www.youtube.com/watch?v=mx0w9QE1w1E" TargetMode="External"/><Relationship Id="rId_hyperlink_543" Type="http://schemas.openxmlformats.org/officeDocument/2006/relationships/hyperlink" Target="https://www.bb-salut.ru/product/dymovoj-fontan-fioletovyj-ma0509-p" TargetMode="External"/><Relationship Id="rId_hyperlink_544" Type="http://schemas.openxmlformats.org/officeDocument/2006/relationships/hyperlink" Target="https://www.youtube.com/watch?v=Ehoj_L1FG3I" TargetMode="External"/><Relationship Id="rId_hyperlink_545" Type="http://schemas.openxmlformats.org/officeDocument/2006/relationships/hyperlink" Target="https://www.bb-salut.ru/product/cvetnoj-dym-zelenyj-ma0511-g-smoking-fountain" TargetMode="External"/><Relationship Id="rId_hyperlink_546" Type="http://schemas.openxmlformats.org/officeDocument/2006/relationships/hyperlink" Target="https://www.youtube.com/watch?v=mHR8BD9C2To" TargetMode="External"/><Relationship Id="rId_hyperlink_547" Type="http://schemas.openxmlformats.org/officeDocument/2006/relationships/hyperlink" Target="https://www.bb-salut.ru/product/cvetnoj-dym-krasnyj-ma0511-r-smoking-fountain" TargetMode="External"/><Relationship Id="rId_hyperlink_548" Type="http://schemas.openxmlformats.org/officeDocument/2006/relationships/hyperlink" Target="https://www.youtube.com/watch?v=AZ0c-nPbbiQ" TargetMode="External"/><Relationship Id="rId_hyperlink_549" Type="http://schemas.openxmlformats.org/officeDocument/2006/relationships/hyperlink" Target="https://www.bb-salut.ru/product/cvetnoj-dym-malinovyj-ma0511-rs-smoking-fountain" TargetMode="External"/><Relationship Id="rId_hyperlink_550" Type="http://schemas.openxmlformats.org/officeDocument/2006/relationships/hyperlink" Target="https://www.youtube.com/watch?v=hW2QliKZA48" TargetMode="External"/><Relationship Id="rId_hyperlink_551" Type="http://schemas.openxmlformats.org/officeDocument/2006/relationships/hyperlink" Target="https://www.bb-salut.ru/product/cvetnoj-dym-belyj-ma0511-w-smoking-fountain" TargetMode="External"/><Relationship Id="rId_hyperlink_552" Type="http://schemas.openxmlformats.org/officeDocument/2006/relationships/hyperlink" Target="https://www.youtube.com/watch?v=vsznMLF1nwM" TargetMode="External"/><Relationship Id="rId_hyperlink_553" Type="http://schemas.openxmlformats.org/officeDocument/2006/relationships/hyperlink" Target="https://www.bb-salut.ru/product/cvetnoj-dym-zheltyj-ma0511-y-smoking-fountain" TargetMode="External"/><Relationship Id="rId_hyperlink_554" Type="http://schemas.openxmlformats.org/officeDocument/2006/relationships/hyperlink" Target="https://www.youtube.com/watch?v=brjZhFlstp8" TargetMode="External"/><Relationship Id="rId_hyperlink_555" Type="http://schemas.openxmlformats.org/officeDocument/2006/relationships/hyperlink" Target="https://www.bb-salut.ru/product/cvetnoj-dym-sinij-ma0511-b-smoking-fountain" TargetMode="External"/><Relationship Id="rId_hyperlink_556" Type="http://schemas.openxmlformats.org/officeDocument/2006/relationships/hyperlink" Target="https://www.bb-salut.ru/product/cvetnoj-dym-goluboj-ma0511-bs-smoking-fountain" TargetMode="External"/><Relationship Id="rId_hyperlink_557" Type="http://schemas.openxmlformats.org/officeDocument/2006/relationships/hyperlink" Target="https://www.youtube.com/watch?v=CjoqKmlBw0Y" TargetMode="External"/><Relationship Id="rId_hyperlink_558" Type="http://schemas.openxmlformats.org/officeDocument/2006/relationships/hyperlink" Target="https://www.bb-salut.ru/product/cvetnoj-dym-chernyj-ma0511-bk-smoking-fountain" TargetMode="External"/><Relationship Id="rId_hyperlink_559" Type="http://schemas.openxmlformats.org/officeDocument/2006/relationships/hyperlink" Target="https://www.bb-salut.ru/product/cvetnoj-dym-oranzhevyj-ma0511-o-smoking-fountain" TargetMode="External"/><Relationship Id="rId_hyperlink_560" Type="http://schemas.openxmlformats.org/officeDocument/2006/relationships/hyperlink" Target="https://www.youtube.com/watch?v=IUcltenbesI" TargetMode="External"/><Relationship Id="rId_hyperlink_561" Type="http://schemas.openxmlformats.org/officeDocument/2006/relationships/hyperlink" Target="https://www.bb-salut.ru/product/cvetnoj-dym-fioletovyj-ma0511-p-smoking-fountain" TargetMode="External"/><Relationship Id="rId_hyperlink_562" Type="http://schemas.openxmlformats.org/officeDocument/2006/relationships/hyperlink" Target="https://www.youtube.com/watch?v=xOQ1losqXsM" TargetMode="External"/><Relationship Id="rId_hyperlink_563" Type="http://schemas.openxmlformats.org/officeDocument/2006/relationships/hyperlink" Target="https://www.bb-salut.ru/product/cvetnoj-dym-s-chekoj-zelenyj-jf-dm30-super-g-joker-fireworks" TargetMode="External"/><Relationship Id="rId_hyperlink_564" Type="http://schemas.openxmlformats.org/officeDocument/2006/relationships/hyperlink" Target="https://www.youtube.com/watch?v=8zWTr0OljdQ" TargetMode="External"/><Relationship Id="rId_hyperlink_565" Type="http://schemas.openxmlformats.org/officeDocument/2006/relationships/hyperlink" Target="https://www.bb-salut.ru/product/cvetnoj-dym-s-chekoj-krasnyj-jf-dm30-super-r-joker-fireworks" TargetMode="External"/><Relationship Id="rId_hyperlink_566" Type="http://schemas.openxmlformats.org/officeDocument/2006/relationships/hyperlink" Target="https://www.youtube.com/watch?v=qzIybBcu4hA" TargetMode="External"/><Relationship Id="rId_hyperlink_567" Type="http://schemas.openxmlformats.org/officeDocument/2006/relationships/hyperlink" Target="https://www.bb-salut.ru/product/cvetnoj-dym-s-chekoj-zheltyj-jf-dm30-super-y-joker-fireworks" TargetMode="External"/><Relationship Id="rId_hyperlink_568" Type="http://schemas.openxmlformats.org/officeDocument/2006/relationships/hyperlink" Target="https://www.youtube.com/watch?v=d17rluX7wAs" TargetMode="External"/><Relationship Id="rId_hyperlink_569" Type="http://schemas.openxmlformats.org/officeDocument/2006/relationships/hyperlink" Target="https://www.bb-salut.ru/product/cvetnoj-dym-s-chekoj-goluboj-jf-dm30-super-bs-joker-fireworks" TargetMode="External"/><Relationship Id="rId_hyperlink_570" Type="http://schemas.openxmlformats.org/officeDocument/2006/relationships/hyperlink" Target="https://www.youtube.com/watch?v=RDYTtzdxA64" TargetMode="External"/><Relationship Id="rId_hyperlink_571" Type="http://schemas.openxmlformats.org/officeDocument/2006/relationships/hyperlink" Target="https://www.bb-salut.ru/product/cvetnoj-dym-s-chekoj-fioletovyj-jf-dm30-super-p-joker-fireworks" TargetMode="External"/><Relationship Id="rId_hyperlink_572" Type="http://schemas.openxmlformats.org/officeDocument/2006/relationships/hyperlink" Target="https://www.youtube.com/watch?v=qVzUFSOVlhA" TargetMode="External"/><Relationship Id="rId_hyperlink_573" Type="http://schemas.openxmlformats.org/officeDocument/2006/relationships/hyperlink" Target="https://www.bb-salut.ru/product/cvetnoj-dym-s-chekoj-rozovyj-jf-dm30-super-pk-joker-fireworks" TargetMode="External"/><Relationship Id="rId_hyperlink_574" Type="http://schemas.openxmlformats.org/officeDocument/2006/relationships/hyperlink" Target="https://www.bb-salut.ru/product/shashka-dymovaya-s-fitilem-rozovaya-uznaj-kto-dlya-gender-pati" TargetMode="External"/><Relationship Id="rId_hyperlink_575" Type="http://schemas.openxmlformats.org/officeDocument/2006/relationships/hyperlink" Target="https://www.youtube.com/watch?v=uWT8WpLR0gg" TargetMode="External"/><Relationship Id="rId_hyperlink_576" Type="http://schemas.openxmlformats.org/officeDocument/2006/relationships/hyperlink" Target="https://www.bb-salut.ru/product/shashka-dymovaya-s-fitilem-golubaya-uznaj-kto-dlya-gender-pati" TargetMode="External"/><Relationship Id="rId_hyperlink_577" Type="http://schemas.openxmlformats.org/officeDocument/2006/relationships/hyperlink" Target="https://www.youtube.com/watch?v=E2R0Fki0su8" TargetMode="External"/><Relationship Id="rId_hyperlink_578" Type="http://schemas.openxmlformats.org/officeDocument/2006/relationships/hyperlink" Target="https://www.bb-salut.ru/product/cvetnoj-dym-s-chekoj-zelenyj-dm90-super-g-joker-fireworks" TargetMode="External"/><Relationship Id="rId_hyperlink_579" Type="http://schemas.openxmlformats.org/officeDocument/2006/relationships/hyperlink" Target="https://www.youtube.com/watch?v=yzr6FebgLgM" TargetMode="External"/><Relationship Id="rId_hyperlink_580" Type="http://schemas.openxmlformats.org/officeDocument/2006/relationships/hyperlink" Target="https://www.bb-salut.ru/product/cvetnoj-dym-s-chekoj-zheltyj-dm90-super-y-joker-fireworks" TargetMode="External"/><Relationship Id="rId_hyperlink_581" Type="http://schemas.openxmlformats.org/officeDocument/2006/relationships/hyperlink" Target="https://www.youtube.com/watch?v=dBdUHsSuHc8" TargetMode="External"/><Relationship Id="rId_hyperlink_582" Type="http://schemas.openxmlformats.org/officeDocument/2006/relationships/hyperlink" Target="https://www.bb-salut.ru/product/cvetnoj-dym-s-chekoj-fioletovyj-dm90-super-p-joker-fireworks" TargetMode="External"/><Relationship Id="rId_hyperlink_583" Type="http://schemas.openxmlformats.org/officeDocument/2006/relationships/hyperlink" Target="https://www.youtube.com/watch?v=IztdfDuTaVw" TargetMode="External"/><Relationship Id="rId_hyperlink_584" Type="http://schemas.openxmlformats.org/officeDocument/2006/relationships/hyperlink" Target="https://www.bb-salut.ru/product/cvetnoj-dym-s-chekoj-rozovyj-dm90-super-pk-joker-fireworks" TargetMode="External"/><Relationship Id="rId_hyperlink_585" Type="http://schemas.openxmlformats.org/officeDocument/2006/relationships/hyperlink" Target="https://www.youtube.com/watch?v=43tlnVI8VyM" TargetMode="External"/><Relationship Id="rId_hyperlink_586" Type="http://schemas.openxmlformats.org/officeDocument/2006/relationships/hyperlink" Target="https://www.bb-salut.ru/product/letayushchij-fejerverk-p3020-vesennyaya-babochka" TargetMode="External"/><Relationship Id="rId_hyperlink_587" Type="http://schemas.openxmlformats.org/officeDocument/2006/relationships/hyperlink" Target="https://www.youtube.com/watch?v=HTR6lNTrF4Q" TargetMode="External"/><Relationship Id="rId_hyperlink_588" Type="http://schemas.openxmlformats.org/officeDocument/2006/relationships/hyperlink" Target="https://www.bb-salut.ru/product/letayushchij-fejerverk-p3100-solnechnyj-cvetok" TargetMode="External"/><Relationship Id="rId_hyperlink_589" Type="http://schemas.openxmlformats.org/officeDocument/2006/relationships/hyperlink" Target="https://www.youtube.com/watch?v=JM9SJqNaHPs" TargetMode="External"/><Relationship Id="rId_hyperlink_590" Type="http://schemas.openxmlformats.org/officeDocument/2006/relationships/hyperlink" Target="https://www.bb-salut.ru/product/letayushchij-fejerverk-p3110-lunnyj-cvetok" TargetMode="External"/><Relationship Id="rId_hyperlink_591" Type="http://schemas.openxmlformats.org/officeDocument/2006/relationships/hyperlink" Target="https://www.youtube.com/watch?v=mWfSbrnTo-s" TargetMode="External"/><Relationship Id="rId_hyperlink_592" Type="http://schemas.openxmlformats.org/officeDocument/2006/relationships/hyperlink" Target="https://www.bb-salut.ru/product/nazemnyj-fejerverk-r3512-vzhik" TargetMode="External"/><Relationship Id="rId_hyperlink_593" Type="http://schemas.openxmlformats.org/officeDocument/2006/relationships/hyperlink" Target="https://www.youtube.com/watch?v=5w_MTYc69Ew" TargetMode="External"/><Relationship Id="rId_hyperlink_594" Type="http://schemas.openxmlformats.org/officeDocument/2006/relationships/hyperlink" Target="https://www.bb-salut.ru/product/nazemnyj-fejerverk-p3520-veselyj-zhuk" TargetMode="External"/><Relationship Id="rId_hyperlink_595" Type="http://schemas.openxmlformats.org/officeDocument/2006/relationships/hyperlink" Target="https://www.youtube.com/watch?v=brcb7lkvMSo" TargetMode="External"/><Relationship Id="rId_hyperlink_596" Type="http://schemas.openxmlformats.org/officeDocument/2006/relationships/hyperlink" Target="https://www.bb-salut.ru/product/nazemnyj-fejerverk-p3530-super-zhuk" TargetMode="External"/><Relationship Id="rId_hyperlink_597" Type="http://schemas.openxmlformats.org/officeDocument/2006/relationships/hyperlink" Target="https://www.bb-salut.ru/product/nazemnyj-fejerverk-rs1360-zhuk" TargetMode="External"/><Relationship Id="rId_hyperlink_598" Type="http://schemas.openxmlformats.org/officeDocument/2006/relationships/hyperlink" Target="https://www.youtube.com/watch?v=0WeSjxXBUrs" TargetMode="External"/><Relationship Id="rId_hyperlink_599" Type="http://schemas.openxmlformats.org/officeDocument/2006/relationships/hyperlink" Target="https://www.bb-salut.ru/product/nazemnyj-fejerverk-rs1362-uletnyj-zhuk" TargetMode="External"/><Relationship Id="rId_hyperlink_600" Type="http://schemas.openxmlformats.org/officeDocument/2006/relationships/hyperlink" Target="https://www.youtube.com/watch?v=nP5PqpCVZg0" TargetMode="External"/><Relationship Id="rId_hyperlink_601" Type="http://schemas.openxmlformats.org/officeDocument/2006/relationships/hyperlink" Target="https://www.bb-salut.ru/product/nazemniy-feyerverk-rs1370-tornado" TargetMode="External"/><Relationship Id="rId_hyperlink_602" Type="http://schemas.openxmlformats.org/officeDocument/2006/relationships/hyperlink" Target="https://www.youtube.com/watch?v=VRFIJQxErvA" TargetMode="External"/><Relationship Id="rId_hyperlink_603" Type="http://schemas.openxmlformats.org/officeDocument/2006/relationships/hyperlink" Target="https://www.bb-salut.ru/product/nazemnyj-fejerverk-rs1386-kosmolet" TargetMode="External"/><Relationship Id="rId_hyperlink_604" Type="http://schemas.openxmlformats.org/officeDocument/2006/relationships/hyperlink" Target="https://www.youtube.com/watch?v=HZw9CRvApVw" TargetMode="External"/><Relationship Id="rId_hyperlink_605" Type="http://schemas.openxmlformats.org/officeDocument/2006/relationships/hyperlink" Target="https://www.bb-salut.ru/product/letayushchij-fejerverk-pc140-dikie-pchely" TargetMode="External"/><Relationship Id="rId_hyperlink_606" Type="http://schemas.openxmlformats.org/officeDocument/2006/relationships/hyperlink" Target="https://www.youtube.com/watch?v=GmJja4vvaWA" TargetMode="External"/><Relationship Id="rId_hyperlink_607" Type="http://schemas.openxmlformats.org/officeDocument/2006/relationships/hyperlink" Target="https://www.bb-salut.ru/product/letayushchij-fejerverk-pc142-volshebnyj-motylek" TargetMode="External"/><Relationship Id="rId_hyperlink_608" Type="http://schemas.openxmlformats.org/officeDocument/2006/relationships/hyperlink" Target="https://www.youtube.com/watch?v=uMQhD-3Dmz4" TargetMode="External"/><Relationship Id="rId_hyperlink_609" Type="http://schemas.openxmlformats.org/officeDocument/2006/relationships/hyperlink" Target="https://www.bb-salut.ru/product/letayushchij-fejerverk-pc144-majskij-zhuk" TargetMode="External"/><Relationship Id="rId_hyperlink_610" Type="http://schemas.openxmlformats.org/officeDocument/2006/relationships/hyperlink" Target="https://www.youtube.com/watch?v=-xxELgat5EU" TargetMode="External"/><Relationship Id="rId_hyperlink_611" Type="http://schemas.openxmlformats.org/officeDocument/2006/relationships/hyperlink" Target="https://www.bb-salut.ru/product/letayushchij-fejerverk-rs1450-strekoza" TargetMode="External"/><Relationship Id="rId_hyperlink_612" Type="http://schemas.openxmlformats.org/officeDocument/2006/relationships/hyperlink" Target="https://www.youtube.com/watch?v=pUNvSGOlFQY" TargetMode="External"/><Relationship Id="rId_hyperlink_613" Type="http://schemas.openxmlformats.org/officeDocument/2006/relationships/hyperlink" Target="https://www.bb-salut.ru/product/nazemnyj-fejerverk-jf-fn03-sdm-ehmodzi" TargetMode="External"/><Relationship Id="rId_hyperlink_614" Type="http://schemas.openxmlformats.org/officeDocument/2006/relationships/hyperlink" Target="https://www.youtube.com/watch?v=IVZqdzE4Z8E" TargetMode="External"/><Relationship Id="rId_hyperlink_615" Type="http://schemas.openxmlformats.org/officeDocument/2006/relationships/hyperlink" Target="https://www.bb-salut.ru/product/rimskie-svechi-p5080-rimskaya-svecha-30" TargetMode="External"/><Relationship Id="rId_hyperlink_616" Type="http://schemas.openxmlformats.org/officeDocument/2006/relationships/hyperlink" Target="https://www.youtube.com/watch?v=T-VKnUoq3aA" TargetMode="External"/><Relationship Id="rId_hyperlink_617" Type="http://schemas.openxmlformats.org/officeDocument/2006/relationships/hyperlink" Target="https://www.bb-salut.ru/product/rimskie-svechi-r5300-vyuga" TargetMode="External"/><Relationship Id="rId_hyperlink_618" Type="http://schemas.openxmlformats.org/officeDocument/2006/relationships/hyperlink" Target="https://www.youtube.com/watch?v=5_rpEqHcViQ" TargetMode="External"/><Relationship Id="rId_hyperlink_619" Type="http://schemas.openxmlformats.org/officeDocument/2006/relationships/hyperlink" Target="https://www.bb-salut.ru/product/rimskie-svechi-p5320-yegoza" TargetMode="External"/><Relationship Id="rId_hyperlink_620" Type="http://schemas.openxmlformats.org/officeDocument/2006/relationships/hyperlink" Target="https://www.youtube.com/watch?v=c_nDmo6kd_M" TargetMode="External"/><Relationship Id="rId_hyperlink_621" Type="http://schemas.openxmlformats.org/officeDocument/2006/relationships/hyperlink" Target="https://www.bb-salut.ru/product/rimskaya-svecha-r5510-pantera" TargetMode="External"/><Relationship Id="rId_hyperlink_622" Type="http://schemas.openxmlformats.org/officeDocument/2006/relationships/hyperlink" Target="https://www.youtube.com/watch?v=eH9cLLGkzhg" TargetMode="External"/><Relationship Id="rId_hyperlink_623" Type="http://schemas.openxmlformats.org/officeDocument/2006/relationships/hyperlink" Target="https://www.bb-salut.ru/product/rimskaya-svecha-r5512-gepard" TargetMode="External"/><Relationship Id="rId_hyperlink_624" Type="http://schemas.openxmlformats.org/officeDocument/2006/relationships/hyperlink" Target="https://www.youtube.com/watch?v=CtSx_9v7iGo" TargetMode="External"/><Relationship Id="rId_hyperlink_625" Type="http://schemas.openxmlformats.org/officeDocument/2006/relationships/hyperlink" Target="https://www.bb-salut.ru/product/rimskie-svechi-r5518-babahych" TargetMode="External"/><Relationship Id="rId_hyperlink_626" Type="http://schemas.openxmlformats.org/officeDocument/2006/relationships/hyperlink" Target="https://www.youtube.com/watch?v=IpoNPV4lqCI" TargetMode="External"/><Relationship Id="rId_hyperlink_627" Type="http://schemas.openxmlformats.org/officeDocument/2006/relationships/hyperlink" Target="https://www.bb-salut.ru/product/rimskie-svechi-r5530-dajkiri" TargetMode="External"/><Relationship Id="rId_hyperlink_628" Type="http://schemas.openxmlformats.org/officeDocument/2006/relationships/hyperlink" Target="https://www.youtube.com/watch?v=LhOpFPAUi9k" TargetMode="External"/><Relationship Id="rId_hyperlink_629" Type="http://schemas.openxmlformats.org/officeDocument/2006/relationships/hyperlink" Target="https://www.bb-salut.ru/product/rimskaya-svecha-r5540-fantaziya" TargetMode="External"/><Relationship Id="rId_hyperlink_630" Type="http://schemas.openxmlformats.org/officeDocument/2006/relationships/hyperlink" Target="https://www.youtube.com/watch?v=8cK0bMqp2vc" TargetMode="External"/><Relationship Id="rId_hyperlink_631" Type="http://schemas.openxmlformats.org/officeDocument/2006/relationships/hyperlink" Target="https://www.bb-salut.ru/product/rimskie-svechi-p5542-lambada" TargetMode="External"/><Relationship Id="rId_hyperlink_632" Type="http://schemas.openxmlformats.org/officeDocument/2006/relationships/hyperlink" Target="https://www.bb-salut.ru/product/rimskie-svechi-p5546-karabas" TargetMode="External"/><Relationship Id="rId_hyperlink_633" Type="http://schemas.openxmlformats.org/officeDocument/2006/relationships/hyperlink" Target="https://www.youtube.com/watch?v=SmolstEkEqU" TargetMode="External"/><Relationship Id="rId_hyperlink_634" Type="http://schemas.openxmlformats.org/officeDocument/2006/relationships/hyperlink" Target="https://www.bb-salut.ru/product/rimskie-svechi-r5548-aperol" TargetMode="External"/><Relationship Id="rId_hyperlink_635" Type="http://schemas.openxmlformats.org/officeDocument/2006/relationships/hyperlink" Target="https://www.youtube.com/watch?v=TIh9n5PrOzY" TargetMode="External"/><Relationship Id="rId_hyperlink_636" Type="http://schemas.openxmlformats.org/officeDocument/2006/relationships/hyperlink" Target="https://www.bb-salut.ru/product/rimskie-svechi-r5607-shariki-fonariki" TargetMode="External"/><Relationship Id="rId_hyperlink_637" Type="http://schemas.openxmlformats.org/officeDocument/2006/relationships/hyperlink" Target="https://www.youtube.com/watch?v=Q04qCeBZ9RM" TargetMode="External"/><Relationship Id="rId_hyperlink_638" Type="http://schemas.openxmlformats.org/officeDocument/2006/relationships/hyperlink" Target="https://www.bb-salut.ru/product/rimskaya-svecha-r5609-marrakesh" TargetMode="External"/><Relationship Id="rId_hyperlink_639" Type="http://schemas.openxmlformats.org/officeDocument/2006/relationships/hyperlink" Target="https://www.youtube.com/watch?v=-YW_zRG9WUA" TargetMode="External"/><Relationship Id="rId_hyperlink_640" Type="http://schemas.openxmlformats.org/officeDocument/2006/relationships/hyperlink" Target="https://www.bb-salut.ru/product/rimskie-svechi-r5724-pina-kolada" TargetMode="External"/><Relationship Id="rId_hyperlink_641" Type="http://schemas.openxmlformats.org/officeDocument/2006/relationships/hyperlink" Target="https://www.youtube.com/watch?v=CX1MB01BcI0" TargetMode="External"/><Relationship Id="rId_hyperlink_642" Type="http://schemas.openxmlformats.org/officeDocument/2006/relationships/hyperlink" Target="https://www.bb-salut.ru/product/rimskaya-svecha-r5726-hrizantema" TargetMode="External"/><Relationship Id="rId_hyperlink_643" Type="http://schemas.openxmlformats.org/officeDocument/2006/relationships/hyperlink" Target="https://www.youtube.com/watch?v=cvS7I0p5kyY" TargetMode="External"/><Relationship Id="rId_hyperlink_644" Type="http://schemas.openxmlformats.org/officeDocument/2006/relationships/hyperlink" Target="https://www.bb-salut.ru/product/rimskaya-svecha-r5800-altair" TargetMode="External"/><Relationship Id="rId_hyperlink_645" Type="http://schemas.openxmlformats.org/officeDocument/2006/relationships/hyperlink" Target="https://www.youtube.com/watch?v=3H5UhNAC0VA" TargetMode="External"/><Relationship Id="rId_hyperlink_646" Type="http://schemas.openxmlformats.org/officeDocument/2006/relationships/hyperlink" Target="https://www.bb-salut.ru/product/rimskaya-svecha-r5900-skazochnaya-feeriya" TargetMode="External"/><Relationship Id="rId_hyperlink_647" Type="http://schemas.openxmlformats.org/officeDocument/2006/relationships/hyperlink" Target="https://www.youtube.com/watch?v=sY4maOimj_M" TargetMode="External"/><Relationship Id="rId_hyperlink_648" Type="http://schemas.openxmlformats.org/officeDocument/2006/relationships/hyperlink" Target="https://www.bb-salut.ru/product/rimskie-svechi-svyazka-p5940-bazuka" TargetMode="External"/><Relationship Id="rId_hyperlink_649" Type="http://schemas.openxmlformats.org/officeDocument/2006/relationships/hyperlink" Target="https://www.youtube.com/watch?v=och8ku85wDw" TargetMode="External"/><Relationship Id="rId_hyperlink_650" Type="http://schemas.openxmlformats.org/officeDocument/2006/relationships/hyperlink" Target="https://www.bb-salut.ru/product/rimskie-svechi-p5950-zenitka" TargetMode="External"/><Relationship Id="rId_hyperlink_651" Type="http://schemas.openxmlformats.org/officeDocument/2006/relationships/hyperlink" Target="https://www.youtube.com/watch?v=I7PHJk7dsQI" TargetMode="External"/><Relationship Id="rId_hyperlink_652" Type="http://schemas.openxmlformats.org/officeDocument/2006/relationships/hyperlink" Target="https://www.bb-salut.ru/product/rimskie-svechi-pc550-snezhinki" TargetMode="External"/><Relationship Id="rId_hyperlink_653" Type="http://schemas.openxmlformats.org/officeDocument/2006/relationships/hyperlink" Target="https://www.youtube.com/watch?v=_2eTeKcDTmQ" TargetMode="External"/><Relationship Id="rId_hyperlink_654" Type="http://schemas.openxmlformats.org/officeDocument/2006/relationships/hyperlink" Target="https://www.bb-salut.ru/product/rimskie-svechi-pc551-smajliki" TargetMode="External"/><Relationship Id="rId_hyperlink_655" Type="http://schemas.openxmlformats.org/officeDocument/2006/relationships/hyperlink" Target="https://www.youtube.com/watch?v=aividmH0TTI" TargetMode="External"/><Relationship Id="rId_hyperlink_656" Type="http://schemas.openxmlformats.org/officeDocument/2006/relationships/hyperlink" Target="https://www.bb-salut.ru/product/rimskie-svechi-rs5030-zvezdopad" TargetMode="External"/><Relationship Id="rId_hyperlink_657" Type="http://schemas.openxmlformats.org/officeDocument/2006/relationships/hyperlink" Target="https://www.youtube.com/watch?v=1iv-zMpWdRE" TargetMode="External"/><Relationship Id="rId_hyperlink_658" Type="http://schemas.openxmlformats.org/officeDocument/2006/relationships/hyperlink" Target="https://www.bb-salut.ru/product/rimskie-svechi-rs5232-ivan-chaj" TargetMode="External"/><Relationship Id="rId_hyperlink_659" Type="http://schemas.openxmlformats.org/officeDocument/2006/relationships/hyperlink" Target="https://www.youtube.com/watch?v=ao7UOy0tHUg" TargetMode="External"/><Relationship Id="rId_hyperlink_660" Type="http://schemas.openxmlformats.org/officeDocument/2006/relationships/hyperlink" Target="https://www.bb-salut.ru/product/rimskie-svechi-pc508-damskij-kapriz" TargetMode="External"/><Relationship Id="rId_hyperlink_661" Type="http://schemas.openxmlformats.org/officeDocument/2006/relationships/hyperlink" Target="https://www.youtube.com/watch?v=2UQA7b0W8G8" TargetMode="External"/><Relationship Id="rId_hyperlink_662" Type="http://schemas.openxmlformats.org/officeDocument/2006/relationships/hyperlink" Target="https://www.bb-salut.ru/product/rimskie-svechi-pc503-bolero" TargetMode="External"/><Relationship Id="rId_hyperlink_663" Type="http://schemas.openxmlformats.org/officeDocument/2006/relationships/hyperlink" Target="https://www.youtube.com/watch?v=8oG_7-rpCsA" TargetMode="External"/><Relationship Id="rId_hyperlink_664" Type="http://schemas.openxmlformats.org/officeDocument/2006/relationships/hyperlink" Target="https://www.bb-salut.ru/product/rimskie-svechi-rs5243-assol" TargetMode="External"/><Relationship Id="rId_hyperlink_665" Type="http://schemas.openxmlformats.org/officeDocument/2006/relationships/hyperlink" Target="https://www.youtube.com/watch?v=ZS5diGoQec8" TargetMode="External"/><Relationship Id="rId_hyperlink_666" Type="http://schemas.openxmlformats.org/officeDocument/2006/relationships/hyperlink" Target="https://www.bb-salut.ru/product/rimskie-svechi-pc515-malinovyj-zvon" TargetMode="External"/><Relationship Id="rId_hyperlink_667" Type="http://schemas.openxmlformats.org/officeDocument/2006/relationships/hyperlink" Target="https://www.youtube.com/watch?v=ciz3qV4i54M" TargetMode="External"/><Relationship Id="rId_hyperlink_668" Type="http://schemas.openxmlformats.org/officeDocument/2006/relationships/hyperlink" Target="https://www.bb-salut.ru/product/rimskie-svechi-rs5274-novogodnyaya-igrushka" TargetMode="External"/><Relationship Id="rId_hyperlink_669" Type="http://schemas.openxmlformats.org/officeDocument/2006/relationships/hyperlink" Target="https://www.youtube.com/watch?v=We2Wv5m87QE" TargetMode="External"/><Relationship Id="rId_hyperlink_670" Type="http://schemas.openxmlformats.org/officeDocument/2006/relationships/hyperlink" Target="https://www.bb-salut.ru/product/rimskie-svechi-rs5280-biatlon" TargetMode="External"/><Relationship Id="rId_hyperlink_671" Type="http://schemas.openxmlformats.org/officeDocument/2006/relationships/hyperlink" Target="https://www.youtube.com/watch?v=ZdPQYGnEznQ" TargetMode="External"/><Relationship Id="rId_hyperlink_672" Type="http://schemas.openxmlformats.org/officeDocument/2006/relationships/hyperlink" Target="https://www.bb-salut.ru/product/rimskie-svechi-rs5590-krasnaya-planeta" TargetMode="External"/><Relationship Id="rId_hyperlink_673" Type="http://schemas.openxmlformats.org/officeDocument/2006/relationships/hyperlink" Target="https://www.youtube.com/watch?v=5VOCjpm5q8c" TargetMode="External"/><Relationship Id="rId_hyperlink_674" Type="http://schemas.openxmlformats.org/officeDocument/2006/relationships/hyperlink" Target="https://www.bb-salut.ru/product/rimskie-svechi-rs5592-zolotoe-runo" TargetMode="External"/><Relationship Id="rId_hyperlink_675" Type="http://schemas.openxmlformats.org/officeDocument/2006/relationships/hyperlink" Target="https://www.youtube.com/watch?v=hGZ6OWd9F-U" TargetMode="External"/><Relationship Id="rId_hyperlink_676" Type="http://schemas.openxmlformats.org/officeDocument/2006/relationships/hyperlink" Target="https://www.bb-salut.ru/product/rimskie-svechi-rs5670-magiya-ognya" TargetMode="External"/><Relationship Id="rId_hyperlink_677" Type="http://schemas.openxmlformats.org/officeDocument/2006/relationships/hyperlink" Target="https://www.youtube.com/watch?v=H05MiASjDfE" TargetMode="External"/><Relationship Id="rId_hyperlink_678" Type="http://schemas.openxmlformats.org/officeDocument/2006/relationships/hyperlink" Target="https://www.bb-salut.ru/product/svyazka-rimskih-svechej-pc570-yuzhnyj-krest" TargetMode="External"/><Relationship Id="rId_hyperlink_679" Type="http://schemas.openxmlformats.org/officeDocument/2006/relationships/hyperlink" Target="https://www.youtube.com/watch?v=xfSnzplEpvw" TargetMode="External"/><Relationship Id="rId_hyperlink_680" Type="http://schemas.openxmlformats.org/officeDocument/2006/relationships/hyperlink" Target="https://www.bb-salut.ru/product/rimskie-svechi-svyazka-rs5830-gatling" TargetMode="External"/><Relationship Id="rId_hyperlink_681" Type="http://schemas.openxmlformats.org/officeDocument/2006/relationships/hyperlink" Target="https://www.youtube.com/watch?v=ghBtGye4ZSU" TargetMode="External"/><Relationship Id="rId_hyperlink_682" Type="http://schemas.openxmlformats.org/officeDocument/2006/relationships/hyperlink" Target="https://www.bb-salut.ru/product/rimskie-svechi-os5252-gzhel" TargetMode="External"/><Relationship Id="rId_hyperlink_683" Type="http://schemas.openxmlformats.org/officeDocument/2006/relationships/hyperlink" Target="https://www.youtube.com/watch?v=LyTz4DZhLCk" TargetMode="External"/><Relationship Id="rId_hyperlink_684" Type="http://schemas.openxmlformats.org/officeDocument/2006/relationships/hyperlink" Target="https://www.bb-salut.ru/product/rimskie-svechi-t-6237-terminator-sterminator-0-3-h-15" TargetMode="External"/><Relationship Id="rId_hyperlink_685" Type="http://schemas.openxmlformats.org/officeDocument/2006/relationships/hyperlink" Target="https://www.youtube.com/watch?v=vYK4GLEWFiY" TargetMode="External"/><Relationship Id="rId_hyperlink_686" Type="http://schemas.openxmlformats.org/officeDocument/2006/relationships/hyperlink" Target="https://www.bb-salut.ru/product/rimskie-svechi-t-6238-volshebnye-ogni-20-magic-shots-20-0-3-h-20" TargetMode="External"/><Relationship Id="rId_hyperlink_687" Type="http://schemas.openxmlformats.org/officeDocument/2006/relationships/hyperlink" Target="https://www.youtube.com/watch?v=M8kFFicBGy4" TargetMode="External"/><Relationship Id="rId_hyperlink_688" Type="http://schemas.openxmlformats.org/officeDocument/2006/relationships/hyperlink" Target="https://www.bb-salut.ru/product/rimskie-svechi-t-6242-volshebnye-ogni-40-magic-shots-40-0-3-h-40" TargetMode="External"/><Relationship Id="rId_hyperlink_689" Type="http://schemas.openxmlformats.org/officeDocument/2006/relationships/hyperlink" Target="https://www.youtube.com/watch?v=l7zPx8Obr2o" TargetMode="External"/><Relationship Id="rId_hyperlink_690" Type="http://schemas.openxmlformats.org/officeDocument/2006/relationships/hyperlink" Target="https://www.bb-salut.ru/product/pnevmohlopushka-cm002-agatovoe-serdce-agate-heart-rozovoe-zoloto-serdca-folga-30sm" TargetMode="External"/><Relationship Id="rId_hyperlink_691" Type="http://schemas.openxmlformats.org/officeDocument/2006/relationships/hyperlink" Target="https://www.bb-salut.ru/product/pnevmohlopushka-cm003-businki-schastya-joybeads-30sm" TargetMode="External"/><Relationship Id="rId_hyperlink_692" Type="http://schemas.openxmlformats.org/officeDocument/2006/relationships/hyperlink" Target="https://www.bb-salut.ru/product/pnevmohlopushka-cm005-prazdnichnyj-serpantin-holiday-streamers-30sm" TargetMode="External"/><Relationship Id="rId_hyperlink_693" Type="http://schemas.openxmlformats.org/officeDocument/2006/relationships/hyperlink" Target="https://www.bb-salut.ru/product/pnevmohlopushka-cm006-dengi-na-veter-money-swirl-30sm" TargetMode="External"/><Relationship Id="rId_hyperlink_694" Type="http://schemas.openxmlformats.org/officeDocument/2006/relationships/hyperlink" Target="https://www.bb-salut.ru/product/pnevmohlopushka-cm007-babochki-raznocvetnye-babochki-i-konfetti-folga-30sm" TargetMode="External"/><Relationship Id="rId_hyperlink_695" Type="http://schemas.openxmlformats.org/officeDocument/2006/relationships/hyperlink" Target="https://www.bb-salut.ru/product/pnevmohlopushka-cm009-serebristo-zolotoj-silver-gold-konfetti-30sm" TargetMode="External"/><Relationship Id="rId_hyperlink_696" Type="http://schemas.openxmlformats.org/officeDocument/2006/relationships/hyperlink" Target="https://www.bb-salut.ru/product/pnevmohlopushka-cm011-zvezdy-vecherinki-party-stars-30sm" TargetMode="External"/><Relationship Id="rId_hyperlink_697" Type="http://schemas.openxmlformats.org/officeDocument/2006/relationships/hyperlink" Target="https://www.bb-salut.ru/product/pnevmohlopushka-cm013-zolotye-gory-golden-hills-zolotoe-konfetti-folga-30sm" TargetMode="External"/><Relationship Id="rId_hyperlink_698" Type="http://schemas.openxmlformats.org/officeDocument/2006/relationships/hyperlink" Target="https://www.bb-salut.ru/product/pnevmokhlopushka-cm015-blue-baby-boom-dlya-gender-pati-malchik-konfetti-folga-30sm" TargetMode="External"/><Relationship Id="rId_hyperlink_699" Type="http://schemas.openxmlformats.org/officeDocument/2006/relationships/hyperlink" Target="https://www.bb-salut.ru/product/pnevmokhlopushka-cm015-pink-baby-boom-dlya-gender-pati-devochka-konfetti-folga-30sm" TargetMode="External"/><Relationship Id="rId_hyperlink_700" Type="http://schemas.openxmlformats.org/officeDocument/2006/relationships/hyperlink" Target="https://www.bb-salut.ru/product/pnevmohlopushka-jf-h300-50pf-04-serebryanoe-konfetti-serebryanoe-konfetti-folga-30sm" TargetMode="External"/><Relationship Id="rId_hyperlink_701" Type="http://schemas.openxmlformats.org/officeDocument/2006/relationships/hyperlink" Target="https://www.bb-salut.ru/product/pnevmohlopushka-uznaj-kto-dlya-gender-pati-gender-party-devochka-rozovoe-bumazhnoe-konfetti-30sm" TargetMode="External"/><Relationship Id="rId_hyperlink_702" Type="http://schemas.openxmlformats.org/officeDocument/2006/relationships/hyperlink" Target="https://www.bb-salut.ru/product/pnevmohlopushka-uznaj-kto-dlya-gender-pati-gender-party-malchik-goluboe-bumazhnoe-konfetti-30sm" TargetMode="External"/><Relationship Id="rId_hyperlink_703" Type="http://schemas.openxmlformats.org/officeDocument/2006/relationships/hyperlink" Target="https://www.bb-salut.ru/product/pnevmohlopushka-jf-h600-50pf-03-pozdravlyaem-raznocvetnoe-konfetti-folga-60sm" TargetMode="External"/><Relationship Id="rId_hyperlink_704" Type="http://schemas.openxmlformats.org/officeDocument/2006/relationships/hyperlink" Target="https://www.bb-salut.ru/product/pnevmohlopushka-jf-h800-50pf-01-s-prazdnikom-raznocvetnoe-konfetti-folga-80sm" TargetMode="External"/><Relationship Id="rId_hyperlink_705" Type="http://schemas.openxmlformats.org/officeDocument/2006/relationships/hyperlink" Target="https://www.bb-salut.ru/product/pnevmohlopushka-jf-h800-50pf-02-raznocvetnyj-serpantin-raznocvetnyj-serpantin-folga-80sm" TargetMode="External"/><Relationship Id="rId_hyperlink_706" Type="http://schemas.openxmlformats.org/officeDocument/2006/relationships/hyperlink" Target="https://www.bb-salut.ru/product/hlopushka-tp104-maksi" TargetMode="External"/><Relationship Id="rId_hyperlink_707" Type="http://schemas.openxmlformats.org/officeDocument/2006/relationships/hyperlink" Target="https://www.youtube.com/watch?v=dZNVkKa4P0Y" TargetMode="External"/><Relationship Id="rId_hyperlink_708" Type="http://schemas.openxmlformats.org/officeDocument/2006/relationships/hyperlink" Target="https://www.bb-salut.ru/product/hlopushka-tp106-super-novogodnyaya" TargetMode="External"/><Relationship Id="rId_hyperlink_709" Type="http://schemas.openxmlformats.org/officeDocument/2006/relationships/hyperlink" Target="https://www.youtube.com/watch?v=7BD4uVkU0ZE" TargetMode="External"/><Relationship Id="rId_hyperlink_710" Type="http://schemas.openxmlformats.org/officeDocument/2006/relationships/hyperlink" Target="https://www.bb-salut.ru/product/hlopushka-tp107-super-detskaya" TargetMode="External"/><Relationship Id="rId_hyperlink_711" Type="http://schemas.openxmlformats.org/officeDocument/2006/relationships/hyperlink" Target="https://www.youtube.com/watch?v=Jxp6MLY7m-g" TargetMode="External"/><Relationship Id="rId_hyperlink_712" Type="http://schemas.openxmlformats.org/officeDocument/2006/relationships/hyperlink" Target="https://www.bb-salut.ru/product/hlopushka-tp108-super-novogodnyaya" TargetMode="External"/><Relationship Id="rId_hyperlink_713" Type="http://schemas.openxmlformats.org/officeDocument/2006/relationships/hyperlink" Target="https://www.youtube.com/watch?v=E588SZu04Wk" TargetMode="External"/><Relationship Id="rId_hyperlink_714" Type="http://schemas.openxmlformats.org/officeDocument/2006/relationships/hyperlink" Target="https://www.bb-salut.ru/product/hlopushka-tp109-maska" TargetMode="External"/><Relationship Id="rId_hyperlink_715" Type="http://schemas.openxmlformats.org/officeDocument/2006/relationships/hyperlink" Target="https://www.bb-salut.ru/product/hlopushka-tp110-listopad" TargetMode="External"/><Relationship Id="rId_hyperlink_716" Type="http://schemas.openxmlformats.org/officeDocument/2006/relationships/hyperlink" Target="https://www.youtube.com/watch?v=wV69AXBZIb8" TargetMode="External"/><Relationship Id="rId_hyperlink_717" Type="http://schemas.openxmlformats.org/officeDocument/2006/relationships/hyperlink" Target="https://www.bb-salut.ru/product/bengalskie-ogni-rs1725-450mm" TargetMode="External"/><Relationship Id="rId_hyperlink_718" Type="http://schemas.openxmlformats.org/officeDocument/2006/relationships/hyperlink" Target="https://www.youtube.com/watch?v=II6TMchP2As" TargetMode="External"/><Relationship Id="rId_hyperlink_719" Type="http://schemas.openxmlformats.org/officeDocument/2006/relationships/hyperlink" Target="https://www.bb-salut.ru/product/bengalskie-svechi-rs1755-cvetnoj-bengalskij-ogon-300mm" TargetMode="External"/><Relationship Id="rId_hyperlink_720" Type="http://schemas.openxmlformats.org/officeDocument/2006/relationships/hyperlink" Target="https://www.youtube.com/watch?v=I8VlMTs_ag0" TargetMode="External"/><Relationship Id="rId_hyperlink_721" Type="http://schemas.openxmlformats.org/officeDocument/2006/relationships/hyperlink" Target="https://www.bb-salut.ru/product/bengalskie-svechi-rs1780-cvetnoj-iskristyj-ogon-300mm" TargetMode="External"/><Relationship Id="rId_hyperlink_722" Type="http://schemas.openxmlformats.org/officeDocument/2006/relationships/hyperlink" Target="https://www.youtube.com/watch?v=cHQwoH4fsX8" TargetMode="External"/><Relationship Id="rId_hyperlink_723" Type="http://schemas.openxmlformats.org/officeDocument/2006/relationships/hyperlink" Target="https://www.bb-salut.ru/product/bengalskie-svechi-figurnye-0784s-zvezda-star-sparkler" TargetMode="External"/><Relationship Id="rId_hyperlink_724" Type="http://schemas.openxmlformats.org/officeDocument/2006/relationships/hyperlink" Target="https://www.youtube.com/watch?v=5nI5K1LpM8I" TargetMode="External"/><Relationship Id="rId_hyperlink_725" Type="http://schemas.openxmlformats.org/officeDocument/2006/relationships/hyperlink" Target="https://www.bb-salut.ru/product/bengalskie-ogni-0977-novogodnij-ogonek-zimne-ognie-160-mm" TargetMode="External"/><Relationship Id="rId_hyperlink_726" Type="http://schemas.openxmlformats.org/officeDocument/2006/relationships/hyperlink" Target="https://www.youtube.com/watch?v=RnIIDW8IXTY" TargetMode="External"/><Relationship Id="rId_hyperlink_727" Type="http://schemas.openxmlformats.org/officeDocument/2006/relationships/hyperlink" Target="https://www.bb-salut.ru/product/bengalskie-ogni-600mm-tsz" TargetMode="External"/><Relationship Id="rId_hyperlink_728" Type="http://schemas.openxmlformats.org/officeDocument/2006/relationships/hyperlink" Target="https://www.youtube.com/watch?v=kSck8BGR52c" TargetMode="External"/><Relationship Id="rId_hyperlink_729" Type="http://schemas.openxmlformats.org/officeDocument/2006/relationships/hyperlink" Target="https://www.bb-salut.ru/product/bengalskie-svechi-figurnye-tr161-zvezdochka" TargetMode="External"/><Relationship Id="rId_hyperlink_730" Type="http://schemas.openxmlformats.org/officeDocument/2006/relationships/hyperlink" Target="https://www.youtube.com/watch?v=N7eo4KQYIoY" TargetMode="External"/><Relationship Id="rId_hyperlink_731" Type="http://schemas.openxmlformats.org/officeDocument/2006/relationships/hyperlink" Target="https://www.bb-salut.ru/product/bengalskie-svechi-figurnye-tr162-serdechko" TargetMode="External"/><Relationship Id="rId_hyperlink_732" Type="http://schemas.openxmlformats.org/officeDocument/2006/relationships/hyperlink" Target="https://www.youtube.com/watch?v=2xaByuJ7EYI" TargetMode="External"/><Relationship Id="rId_hyperlink_733" Type="http://schemas.openxmlformats.org/officeDocument/2006/relationships/hyperlink" Target="https://www.bb-salut.ru/product/bengalskie-svechi-figurnye-tr163-elochka" TargetMode="External"/><Relationship Id="rId_hyperlink_734" Type="http://schemas.openxmlformats.org/officeDocument/2006/relationships/hyperlink" Target="https://www.youtube.com/watch?v=bPhoeGemXVY" TargetMode="External"/><Relationship Id="rId_hyperlink_735" Type="http://schemas.openxmlformats.org/officeDocument/2006/relationships/hyperlink" Target="https://www.bb-salut.ru/product/bengalskie-ogni-150mm-chelyabinsk" TargetMode="External"/><Relationship Id="rId_hyperlink_736" Type="http://schemas.openxmlformats.org/officeDocument/2006/relationships/hyperlink" Target="https://www.youtube.com/watch?v=70g-goKPsxg" TargetMode="External"/><Relationship Id="rId_hyperlink_737" Type="http://schemas.openxmlformats.org/officeDocument/2006/relationships/hyperlink" Target="https://www.bb-salut.ru/product/bengalskiye-ogni-belyy-sneg-400mm-chelyabinsk-belyy-tsvet-plameni" TargetMode="External"/><Relationship Id="rId_hyperlink_738" Type="http://schemas.openxmlformats.org/officeDocument/2006/relationships/hyperlink" Target="https://www.bb-salut.ru/product/bengalskie-ogni-zoloto-rossii-400mm" TargetMode="External"/><Relationship Id="rId_hyperlink_739" Type="http://schemas.openxmlformats.org/officeDocument/2006/relationships/hyperlink" Target="https://www.bb-salut.ru/product/bengalskie-ogni-cvetnye-svetofor-400mm" TargetMode="External"/><Relationship Id="rId_hyperlink_740" Type="http://schemas.openxmlformats.org/officeDocument/2006/relationships/hyperlink" Target="https://www.bb-salut.ru/product/bengalskiye-ogni-tsvetnyye-trikolor-400mm-chelyabinsk-belyy-siniy-krasnyy" TargetMode="External"/><Relationship Id="rId_hyperlink_741" Type="http://schemas.openxmlformats.org/officeDocument/2006/relationships/hyperlink" Target="https://www.bb-salut.ru/product/bengalskie-ogni-400mm-cvetnye-assorti-krasnyj-zelenyj-goluboj-zheltyj-chelyabinsk-chl-400cp" TargetMode="External"/><Relationship Id="rId_hyperlink_742" Type="http://schemas.openxmlformats.org/officeDocument/2006/relationships/hyperlink" Target="https://www.bb-salut.ru/product/bengalskiye-ogni-belyy-sneg-650mm-chelyabinsk-belyy-tsvet-plameni" TargetMode="External"/><Relationship Id="rId_hyperlink_743" Type="http://schemas.openxmlformats.org/officeDocument/2006/relationships/hyperlink" Target="https://www.bb-salut.ru/product/bengalskie-ogni-zoloto-rossii-650mm" TargetMode="External"/><Relationship Id="rId_hyperlink_744" Type="http://schemas.openxmlformats.org/officeDocument/2006/relationships/hyperlink" Target="https://www.bb-salut.ru/product/bengalskiye-ogni-tsvetnyye-trikolor-650mm-chelyabinsk-belyy-siniy-krasnyy" TargetMode="External"/><Relationship Id="rId_hyperlink_745" Type="http://schemas.openxmlformats.org/officeDocument/2006/relationships/hyperlink" Target="https://www.bb-salut.ru/product/bengalskie-ogni-650mm-cvetnye-assorti-krasnyj-zelenyj-goluboj-zheltyj-chelyabinsk-chl-650cp" TargetMode="External"/><Relationship Id="rId_hyperlink_746" Type="http://schemas.openxmlformats.org/officeDocument/2006/relationships/hyperlink" Target="https://www.bb-salut.ru/product/fontan-pirotekhnicheskij-r4050-chudo" TargetMode="External"/><Relationship Id="rId_hyperlink_747" Type="http://schemas.openxmlformats.org/officeDocument/2006/relationships/hyperlink" Target="https://www.bb-salut.ru/product/fontan-pirotekhnicheskij-r4062-yorsh" TargetMode="External"/><Relationship Id="rId_hyperlink_748" Type="http://schemas.openxmlformats.org/officeDocument/2006/relationships/hyperlink" Target="https://www.bb-salut.ru/product/fontan-pirotekhnicheskij-r4063-snezhok" TargetMode="External"/><Relationship Id="rId_hyperlink_749" Type="http://schemas.openxmlformats.org/officeDocument/2006/relationships/hyperlink" Target="https://www.youtube.com/watch?v=X8SAXp2JVBc" TargetMode="External"/><Relationship Id="rId_hyperlink_750" Type="http://schemas.openxmlformats.org/officeDocument/2006/relationships/hyperlink" Target="https://www.bb-salut.ru/product/fontan-pirotekhnicheskij-r4064-lapki" TargetMode="External"/><Relationship Id="rId_hyperlink_751" Type="http://schemas.openxmlformats.org/officeDocument/2006/relationships/hyperlink" Target="https://www.youtube.com/watch?v=njlI3UFfgJI" TargetMode="External"/><Relationship Id="rId_hyperlink_752" Type="http://schemas.openxmlformats.org/officeDocument/2006/relationships/hyperlink" Target="https://www.bb-salut.ru/product/fontan-pirotekhnicheskij-p4066-zvezdnaya-pyl" TargetMode="External"/><Relationship Id="rId_hyperlink_753" Type="http://schemas.openxmlformats.org/officeDocument/2006/relationships/hyperlink" Target="https://www.youtube.com/watch?v=zdCJ03kljEc" TargetMode="External"/><Relationship Id="rId_hyperlink_754" Type="http://schemas.openxmlformats.org/officeDocument/2006/relationships/hyperlink" Target="https://www.bb-salut.ru/product/fontan-pirotekhnicheskij-r4090-pin-kot" TargetMode="External"/><Relationship Id="rId_hyperlink_755" Type="http://schemas.openxmlformats.org/officeDocument/2006/relationships/hyperlink" Target="https://www.youtube.com/watch?v=sR9ehF1uYEw" TargetMode="External"/><Relationship Id="rId_hyperlink_756" Type="http://schemas.openxmlformats.org/officeDocument/2006/relationships/hyperlink" Target="https://www.bb-salut.ru/product/fontan-pirotekhnicheskij-r4101-kakadu" TargetMode="External"/><Relationship Id="rId_hyperlink_757" Type="http://schemas.openxmlformats.org/officeDocument/2006/relationships/hyperlink" Target="https://www.youtube.com/watch?v=PCdkeTEmRPY" TargetMode="External"/><Relationship Id="rId_hyperlink_758" Type="http://schemas.openxmlformats.org/officeDocument/2006/relationships/hyperlink" Target="https://www.bb-salut.ru/product/fontan-pirotekhnicheskij-p4120-carskij" TargetMode="External"/><Relationship Id="rId_hyperlink_759" Type="http://schemas.openxmlformats.org/officeDocument/2006/relationships/hyperlink" Target="https://www.youtube.com/watch?v=VAvvMl3utK8" TargetMode="External"/><Relationship Id="rId_hyperlink_760" Type="http://schemas.openxmlformats.org/officeDocument/2006/relationships/hyperlink" Target="https://www.bb-salut.ru/product/fontan-pirotekhnicheskij-r4121-bryut" TargetMode="External"/><Relationship Id="rId_hyperlink_761" Type="http://schemas.openxmlformats.org/officeDocument/2006/relationships/hyperlink" Target="https://www.youtube.com/watch?v=rHbgBI50Nl8" TargetMode="External"/><Relationship Id="rId_hyperlink_762" Type="http://schemas.openxmlformats.org/officeDocument/2006/relationships/hyperlink" Target="https://www.bb-salut.ru/product/fontan-pirotekhnicheskij-r4202-svetlyachok" TargetMode="External"/><Relationship Id="rId_hyperlink_763" Type="http://schemas.openxmlformats.org/officeDocument/2006/relationships/hyperlink" Target="https://www.youtube.com/watch?v=fw3imiL667A" TargetMode="External"/><Relationship Id="rId_hyperlink_764" Type="http://schemas.openxmlformats.org/officeDocument/2006/relationships/hyperlink" Target="https://www.bb-salut.ru/product/fontan-pirotekhnicheskij-r4205-pavlin" TargetMode="External"/><Relationship Id="rId_hyperlink_765" Type="http://schemas.openxmlformats.org/officeDocument/2006/relationships/hyperlink" Target="https://www.youtube.com/watch?v=uZdRnyjj9bM" TargetMode="External"/><Relationship Id="rId_hyperlink_766" Type="http://schemas.openxmlformats.org/officeDocument/2006/relationships/hyperlink" Target="https://www.bb-salut.ru/product/fontan-pirotekhnicheskij-r4210-teatr-kukol" TargetMode="External"/><Relationship Id="rId_hyperlink_767" Type="http://schemas.openxmlformats.org/officeDocument/2006/relationships/hyperlink" Target="https://www.youtube.com/watch?v=qAUAMxysz6g" TargetMode="External"/><Relationship Id="rId_hyperlink_768" Type="http://schemas.openxmlformats.org/officeDocument/2006/relationships/hyperlink" Target="https://www.bb-salut.ru/product/fontan-pirotekhnicheskij-r4218-privet-ot-aista-malchik-dlya-gender-pati" TargetMode="External"/><Relationship Id="rId_hyperlink_769" Type="http://schemas.openxmlformats.org/officeDocument/2006/relationships/hyperlink" Target="https://www.youtube.com/watch?v=ogz9ty4pgxU" TargetMode="External"/><Relationship Id="rId_hyperlink_770" Type="http://schemas.openxmlformats.org/officeDocument/2006/relationships/hyperlink" Target="https://www.bb-salut.ru/product/fontan-pirotekhnicheskij-r4219-privet-ot-aista-devochka-dlya-gender-pati" TargetMode="External"/><Relationship Id="rId_hyperlink_771" Type="http://schemas.openxmlformats.org/officeDocument/2006/relationships/hyperlink" Target="https://www.youtube.com/watch?v=YJMOnKkUFPk" TargetMode="External"/><Relationship Id="rId_hyperlink_772" Type="http://schemas.openxmlformats.org/officeDocument/2006/relationships/hyperlink" Target="https://www.bb-salut.ru/product/fontan-pirotekhnicheskij-r4224-kazachok" TargetMode="External"/><Relationship Id="rId_hyperlink_773" Type="http://schemas.openxmlformats.org/officeDocument/2006/relationships/hyperlink" Target="https://www.youtube.com/watch?v=45a61Cv8Qww" TargetMode="External"/><Relationship Id="rId_hyperlink_774" Type="http://schemas.openxmlformats.org/officeDocument/2006/relationships/hyperlink" Target="https://www.bb-salut.ru/product/fontan-pirotekhnicheskij-p4320-saherezada" TargetMode="External"/><Relationship Id="rId_hyperlink_775" Type="http://schemas.openxmlformats.org/officeDocument/2006/relationships/hyperlink" Target="https://www.youtube.com/watch?v=e4DXEcXO1ZI" TargetMode="External"/><Relationship Id="rId_hyperlink_776" Type="http://schemas.openxmlformats.org/officeDocument/2006/relationships/hyperlink" Target="https://www.bb-salut.ru/product/fontan-pirotekhnicheskij-r4644-tiara" TargetMode="External"/><Relationship Id="rId_hyperlink_777" Type="http://schemas.openxmlformats.org/officeDocument/2006/relationships/hyperlink" Target="https://www.youtube.com/watch?v=Mbl9aIjZoDo" TargetMode="External"/><Relationship Id="rId_hyperlink_778" Type="http://schemas.openxmlformats.org/officeDocument/2006/relationships/hyperlink" Target="https://www.bb-salut.ru/product/fontan-pirotekhnicheskij-r4800-volshebnaya-palochka" TargetMode="External"/><Relationship Id="rId_hyperlink_779" Type="http://schemas.openxmlformats.org/officeDocument/2006/relationships/hyperlink" Target="https://www.youtube.com/watch?v=FGhduzuqwNY" TargetMode="External"/><Relationship Id="rId_hyperlink_780" Type="http://schemas.openxmlformats.org/officeDocument/2006/relationships/hyperlink" Target="https://www.bb-salut.ru/product/scenicheskij-fontan-r4814-holodnyj-ogon" TargetMode="External"/><Relationship Id="rId_hyperlink_781" Type="http://schemas.openxmlformats.org/officeDocument/2006/relationships/hyperlink" Target="https://www.youtube.com/watch?v=VFBZ3h2khAM" TargetMode="External"/><Relationship Id="rId_hyperlink_782" Type="http://schemas.openxmlformats.org/officeDocument/2006/relationships/hyperlink" Target="https://www.bb-salut.ru/product/fontany-v-tort-rs1950-ehkstra" TargetMode="External"/><Relationship Id="rId_hyperlink_783" Type="http://schemas.openxmlformats.org/officeDocument/2006/relationships/hyperlink" Target="https://www.youtube.com/watch?v=EPQ_70MwqMI" TargetMode="External"/><Relationship Id="rId_hyperlink_784" Type="http://schemas.openxmlformats.org/officeDocument/2006/relationships/hyperlink" Target="https://www.bb-salut.ru/product/fontany-v-tort-rs1960-girl-malchik-ili-devochka" TargetMode="External"/><Relationship Id="rId_hyperlink_785" Type="http://schemas.openxmlformats.org/officeDocument/2006/relationships/hyperlink" Target="https://www.youtube.com/watch?v=WmL1BvLVpo4" TargetMode="External"/><Relationship Id="rId_hyperlink_786" Type="http://schemas.openxmlformats.org/officeDocument/2006/relationships/hyperlink" Target="https://www.bb-salut.ru/product/fontany-v-tort-rs1960-boy-malchik-ili-devochka" TargetMode="External"/><Relationship Id="rId_hyperlink_787" Type="http://schemas.openxmlformats.org/officeDocument/2006/relationships/hyperlink" Target="https://www.youtube.com/watch?v=WmL1BvLVpo4" TargetMode="External"/><Relationship Id="rId_hyperlink_788" Type="http://schemas.openxmlformats.org/officeDocument/2006/relationships/hyperlink" Target="https://www.bb-salut.ru/product/fontan-pirotekhnicheskij-rs4010-kalash" TargetMode="External"/><Relationship Id="rId_hyperlink_789" Type="http://schemas.openxmlformats.org/officeDocument/2006/relationships/hyperlink" Target="https://www.youtube.com/watch?v=29EuAzWEFzw" TargetMode="External"/><Relationship Id="rId_hyperlink_790" Type="http://schemas.openxmlformats.org/officeDocument/2006/relationships/hyperlink" Target="https://www.bb-salut.ru/product/fontan-pirotekhnicheskij-rs4018-mech-kladenec" TargetMode="External"/><Relationship Id="rId_hyperlink_791" Type="http://schemas.openxmlformats.org/officeDocument/2006/relationships/hyperlink" Target="https://www.youtube.com/watch?v=VwYcXitQ_zM" TargetMode="External"/><Relationship Id="rId_hyperlink_792" Type="http://schemas.openxmlformats.org/officeDocument/2006/relationships/hyperlink" Target="https://www.bb-salut.ru/product/fontan-pirotekhnicheskij-rs4060-akvarel" TargetMode="External"/><Relationship Id="rId_hyperlink_793" Type="http://schemas.openxmlformats.org/officeDocument/2006/relationships/hyperlink" Target="https://www.youtube.com/watch?v=xJxVxjNc9M0" TargetMode="External"/><Relationship Id="rId_hyperlink_794" Type="http://schemas.openxmlformats.org/officeDocument/2006/relationships/hyperlink" Target="https://www.bb-salut.ru/product/fontan-pirotekhnicheskij-pc480-anyutiny-glazki" TargetMode="External"/><Relationship Id="rId_hyperlink_795" Type="http://schemas.openxmlformats.org/officeDocument/2006/relationships/hyperlink" Target="https://www.youtube.com/watch?v=TrHZONF3tLY" TargetMode="External"/><Relationship Id="rId_hyperlink_796" Type="http://schemas.openxmlformats.org/officeDocument/2006/relationships/hyperlink" Target="https://www.bb-salut.ru/product/fontan-pirotekhnicheskij-pc481-vasya-vasilek" TargetMode="External"/><Relationship Id="rId_hyperlink_797" Type="http://schemas.openxmlformats.org/officeDocument/2006/relationships/hyperlink" Target="https://www.youtube.com/watch?v=GscSqlCWxQ0" TargetMode="External"/><Relationship Id="rId_hyperlink_798" Type="http://schemas.openxmlformats.org/officeDocument/2006/relationships/hyperlink" Target="https://www.bb-salut.ru/product/fontan-pirotekhnicheskij-rs4085-girl-malchik-ili-devochka" TargetMode="External"/><Relationship Id="rId_hyperlink_799" Type="http://schemas.openxmlformats.org/officeDocument/2006/relationships/hyperlink" Target="https://www.youtube.com/watch?v=m8GcUd-nSl0" TargetMode="External"/><Relationship Id="rId_hyperlink_800" Type="http://schemas.openxmlformats.org/officeDocument/2006/relationships/hyperlink" Target="https://www.bb-salut.ru/product/fontan-pirotekhnicheskij-rs4085-boy-malchik-ili-devochka" TargetMode="External"/><Relationship Id="rId_hyperlink_801" Type="http://schemas.openxmlformats.org/officeDocument/2006/relationships/hyperlink" Target="https://www.bb-salut.ru/product/fontan-pirotekhnicheskij-rs4088-prazdnichnyj" TargetMode="External"/><Relationship Id="rId_hyperlink_802" Type="http://schemas.openxmlformats.org/officeDocument/2006/relationships/hyperlink" Target="https://www.youtube.com/watch?v=u3MFgwnhv3I" TargetMode="External"/><Relationship Id="rId_hyperlink_803" Type="http://schemas.openxmlformats.org/officeDocument/2006/relationships/hyperlink" Target="https://www.bb-salut.ru/product/fontan-pirotekhnicheskij-pc461-burnyj-vezuvij" TargetMode="External"/><Relationship Id="rId_hyperlink_804" Type="http://schemas.openxmlformats.org/officeDocument/2006/relationships/hyperlink" Target="https://www.youtube.com/watch?v=hdADX56G6AY" TargetMode="External"/><Relationship Id="rId_hyperlink_805" Type="http://schemas.openxmlformats.org/officeDocument/2006/relationships/hyperlink" Target="https://www.bb-salut.ru/product/fontan-pirotekhnicheskij-rs4164-zoloto-persidskoj-nochi" TargetMode="External"/><Relationship Id="rId_hyperlink_806" Type="http://schemas.openxmlformats.org/officeDocument/2006/relationships/hyperlink" Target="https://www.youtube.com/watch?v=k5DHsGVLNVQ" TargetMode="External"/><Relationship Id="rId_hyperlink_807" Type="http://schemas.openxmlformats.org/officeDocument/2006/relationships/hyperlink" Target="https://www.bb-salut.ru/product/fontan-pirotekhnicheskij-rs4165-serebro-persidskoj-nochi" TargetMode="External"/><Relationship Id="rId_hyperlink_808" Type="http://schemas.openxmlformats.org/officeDocument/2006/relationships/hyperlink" Target="https://www.youtube.com/watch?v=pSe_xWEsnNw" TargetMode="External"/><Relationship Id="rId_hyperlink_809" Type="http://schemas.openxmlformats.org/officeDocument/2006/relationships/hyperlink" Target="https://www.bb-salut.ru/product/fontan-pirotekhnicheskij-rs4340-smile" TargetMode="External"/><Relationship Id="rId_hyperlink_810" Type="http://schemas.openxmlformats.org/officeDocument/2006/relationships/hyperlink" Target="https://www.youtube.com/watch?v=phJ_57l_Y7U" TargetMode="External"/><Relationship Id="rId_hyperlink_811" Type="http://schemas.openxmlformats.org/officeDocument/2006/relationships/hyperlink" Target="https://www.bb-salut.ru/product/fontan-pirotekhnicheskij-pc484-snezhnyj-chelovek" TargetMode="External"/><Relationship Id="rId_hyperlink_812" Type="http://schemas.openxmlformats.org/officeDocument/2006/relationships/hyperlink" Target="https://www.youtube.com/watch?v=sBDCypEy-FA" TargetMode="External"/><Relationship Id="rId_hyperlink_813" Type="http://schemas.openxmlformats.org/officeDocument/2006/relationships/hyperlink" Target="https://www.bb-salut.ru/product/fontan-pirotekhnicheskij-pc478-mir-dlya-dvoih" TargetMode="External"/><Relationship Id="rId_hyperlink_814" Type="http://schemas.openxmlformats.org/officeDocument/2006/relationships/hyperlink" Target="https://www.youtube.com/watch?v=3euA0tVtM4w" TargetMode="External"/><Relationship Id="rId_hyperlink_815" Type="http://schemas.openxmlformats.org/officeDocument/2006/relationships/hyperlink" Target="https://www.bb-salut.ru/product/fontan-pirotekhnicheskij-rs4570-apelsinovyj-frehsh" TargetMode="External"/><Relationship Id="rId_hyperlink_816" Type="http://schemas.openxmlformats.org/officeDocument/2006/relationships/hyperlink" Target="https://www.youtube.com/watch?v=JHaqzsN9JaQ" TargetMode="External"/><Relationship Id="rId_hyperlink_817" Type="http://schemas.openxmlformats.org/officeDocument/2006/relationships/hyperlink" Target="https://www.bb-salut.ru/product/fontan-pirotekhnicheskij-rs4580-sochnyj-citrus" TargetMode="External"/><Relationship Id="rId_hyperlink_818" Type="http://schemas.openxmlformats.org/officeDocument/2006/relationships/hyperlink" Target="https://www.youtube.com/watch?v=1Hhnaef_U_I" TargetMode="External"/><Relationship Id="rId_hyperlink_819" Type="http://schemas.openxmlformats.org/officeDocument/2006/relationships/hyperlink" Target="https://www.bb-salut.ru/product/fontan-pirotekhnicheskij-04105-gejzer" TargetMode="External"/><Relationship Id="rId_hyperlink_820" Type="http://schemas.openxmlformats.org/officeDocument/2006/relationships/hyperlink" Target="https://www.youtube.com/watch?v=WXClzRJn5Us" TargetMode="External"/><Relationship Id="rId_hyperlink_821" Type="http://schemas.openxmlformats.org/officeDocument/2006/relationships/hyperlink" Target="https://www.bb-salut.ru/product/kholodnyj-fontan-04209-ledyanoy-ogon" TargetMode="External"/><Relationship Id="rId_hyperlink_822" Type="http://schemas.openxmlformats.org/officeDocument/2006/relationships/hyperlink" Target="https://www.youtube.com/watch?v=kYWvB1sQ9S0" TargetMode="External"/><Relationship Id="rId_hyperlink_823" Type="http://schemas.openxmlformats.org/officeDocument/2006/relationships/hyperlink" Target="https://www.bb-salut.ru/product/fontan-pirotekhnicheskij-vh-fo-06-vulkan" TargetMode="External"/><Relationship Id="rId_hyperlink_824" Type="http://schemas.openxmlformats.org/officeDocument/2006/relationships/hyperlink" Target="https://www.youtube.com/watch?v=M1DqSwrUVFA" TargetMode="External"/><Relationship Id="rId_hyperlink_825" Type="http://schemas.openxmlformats.org/officeDocument/2006/relationships/hyperlink" Target="https://www.bb-salut.ru/product/fontan-pirotekhnicheskij-vh-fo-09-krater" TargetMode="External"/><Relationship Id="rId_hyperlink_826" Type="http://schemas.openxmlformats.org/officeDocument/2006/relationships/hyperlink" Target="https://www.youtube.com/watch?v=fKhD4ZhADY0" TargetMode="External"/><Relationship Id="rId_hyperlink_827" Type="http://schemas.openxmlformats.org/officeDocument/2006/relationships/hyperlink" Target="https://www.bb-salut.ru/product/fontan-pirotekhnicheskij-gw0819-10-serebryanyj-fontan-silver-fountan" TargetMode="External"/><Relationship Id="rId_hyperlink_828" Type="http://schemas.openxmlformats.org/officeDocument/2006/relationships/hyperlink" Target="https://www.youtube.com/watch?v=MjsZjufk3Xk" TargetMode="External"/><Relationship Id="rId_hyperlink_829" Type="http://schemas.openxmlformats.org/officeDocument/2006/relationships/hyperlink" Target="https://www.bb-salut.ru/product/fejerverk-dlya-torta-fontana-tortowa" TargetMode="External"/><Relationship Id="rId_hyperlink_830" Type="http://schemas.openxmlformats.org/officeDocument/2006/relationships/hyperlink" Target="https://www.youtube.com/watch?v=CU7bWzFUWD4" TargetMode="External"/><Relationship Id="rId_hyperlink_831" Type="http://schemas.openxmlformats.org/officeDocument/2006/relationships/hyperlink" Target="https://www.bb-salut.ru/product/fejerverk-dlya-torta-fontana-tortowa-ii" TargetMode="External"/><Relationship Id="rId_hyperlink_832" Type="http://schemas.openxmlformats.org/officeDocument/2006/relationships/hyperlink" Target="https://www.youtube.com/watch?v=MevTJzcNMY8" TargetMode="External"/><Relationship Id="rId_hyperlink_833" Type="http://schemas.openxmlformats.org/officeDocument/2006/relationships/hyperlink" Target="https://www.bb-salut.ru/product/fejerverk-dlya-torta-mf-004-holodnyj-ogon-ice-fountain" TargetMode="External"/><Relationship Id="rId_hyperlink_834" Type="http://schemas.openxmlformats.org/officeDocument/2006/relationships/hyperlink" Target="https://www.bb-salut.ru/product/fejerverk-dlya-torta-mf-005-ledyanoj-fontan" TargetMode="External"/><Relationship Id="rId_hyperlink_835" Type="http://schemas.openxmlformats.org/officeDocument/2006/relationships/hyperlink" Target="https://www.bb-salut.ru/product/fejerverk-dlya-torta-mf-010-gigantskie-fontany-v-tort-cake-fountain" TargetMode="External"/><Relationship Id="rId_hyperlink_836" Type="http://schemas.openxmlformats.org/officeDocument/2006/relationships/hyperlink" Target="https://www.bb-salut.ru/product/fontany-v-tort-jf-ts18-80" TargetMode="External"/><Relationship Id="rId_hyperlink_837" Type="http://schemas.openxmlformats.org/officeDocument/2006/relationships/hyperlink" Target="https://www.youtube.com/watch?v=DGx-ztt4AoQ" TargetMode="External"/><Relationship Id="rId_hyperlink_838" Type="http://schemas.openxmlformats.org/officeDocument/2006/relationships/hyperlink" Target="https://www.bb-salut.ru/product/mini-rakety-p2010-pugach" TargetMode="External"/><Relationship Id="rId_hyperlink_839" Type="http://schemas.openxmlformats.org/officeDocument/2006/relationships/hyperlink" Target="https://www.youtube.com/watch?v=_lw6b0PFeM0" TargetMode="External"/><Relationship Id="rId_hyperlink_840" Type="http://schemas.openxmlformats.org/officeDocument/2006/relationships/hyperlink" Target="https://www.bb-salut.ru/product/mini-rakety-r2020-k-celi" TargetMode="External"/><Relationship Id="rId_hyperlink_841" Type="http://schemas.openxmlformats.org/officeDocument/2006/relationships/hyperlink" Target="https://www.youtube.com/watch?v=fVHzy1N3Nhc" TargetMode="External"/><Relationship Id="rId_hyperlink_842" Type="http://schemas.openxmlformats.org/officeDocument/2006/relationships/hyperlink" Target="https://www.bb-salut.ru/product/rakety-r2300-assorti" TargetMode="External"/><Relationship Id="rId_hyperlink_843" Type="http://schemas.openxmlformats.org/officeDocument/2006/relationships/hyperlink" Target="https://www.youtube.com/watch?v=W5zndHdYYsk" TargetMode="External"/><Relationship Id="rId_hyperlink_844" Type="http://schemas.openxmlformats.org/officeDocument/2006/relationships/hyperlink" Target="https://www.bb-salut.ru/product/rakety-rs2210-assorti" TargetMode="External"/><Relationship Id="rId_hyperlink_845" Type="http://schemas.openxmlformats.org/officeDocument/2006/relationships/hyperlink" Target="https://www.youtube.com/watch?v=RQEnBVW-4wc" TargetMode="External"/><Relationship Id="rId_hyperlink_846" Type="http://schemas.openxmlformats.org/officeDocument/2006/relationships/hyperlink" Target="https://www.bb-salut.ru/product/rakety-rs2245-argonavty" TargetMode="External"/><Relationship Id="rId_hyperlink_847" Type="http://schemas.openxmlformats.org/officeDocument/2006/relationships/hyperlink" Target="https://www.youtube.com/watch?v=87Zt4H1uzSg" TargetMode="External"/><Relationship Id="rId_hyperlink_848" Type="http://schemas.openxmlformats.org/officeDocument/2006/relationships/hyperlink" Target="https://www.bb-salut.ru/product/mini-rakety-0445d-svistyashchie-komety-whistling-moon-travellers-upakovka" TargetMode="External"/><Relationship Id="rId_hyperlink_849" Type="http://schemas.openxmlformats.org/officeDocument/2006/relationships/hyperlink" Target="https://www.bb-salut.ru/product/rakety-gwrxxl-nabor-xxl" TargetMode="External"/><Relationship Id="rId_hyperlink_850" Type="http://schemas.openxmlformats.org/officeDocument/2006/relationships/hyperlink" Target="https://www.youtube.com/watch?v=S3vzzaf3tNA" TargetMode="External"/><Relationship Id="rId_hyperlink_851" Type="http://schemas.openxmlformats.org/officeDocument/2006/relationships/hyperlink" Target="https://www.bb-salut.ru/product/mini-rakety-jf-0445-svist-hlop" TargetMode="External"/><Relationship Id="rId_hyperlink_852" Type="http://schemas.openxmlformats.org/officeDocument/2006/relationships/hyperlink" Target="https://www.youtube.com/watch?v=oXcUCwc4vTs" TargetMode="External"/><Relationship Id="rId_hyperlink_853" Type="http://schemas.openxmlformats.org/officeDocument/2006/relationships/hyperlink" Target="https://www.bb-salut.ru/product/festivalnye-shary-pc680-nevalyashka" TargetMode="External"/><Relationship Id="rId_hyperlink_854" Type="http://schemas.openxmlformats.org/officeDocument/2006/relationships/hyperlink" Target="https://www.youtube.com/watch?v=4ATjRB0IQaY" TargetMode="External"/><Relationship Id="rId_hyperlink_855" Type="http://schemas.openxmlformats.org/officeDocument/2006/relationships/hyperlink" Target="https://www.bb-salut.ru/product/festivalnye-shary-pc682-zvezdy-diskotek" TargetMode="External"/><Relationship Id="rId_hyperlink_856" Type="http://schemas.openxmlformats.org/officeDocument/2006/relationships/hyperlink" Target="https://www.youtube.com/watch?v=PzODqbGuW_Y" TargetMode="External"/><Relationship Id="rId_hyperlink_857" Type="http://schemas.openxmlformats.org/officeDocument/2006/relationships/hyperlink" Target="https://www.bb-salut.ru/product/festivalnye-shary-08009-mortira-45" TargetMode="External"/><Relationship Id="rId_hyperlink_858" Type="http://schemas.openxmlformats.org/officeDocument/2006/relationships/hyperlink" Target="https://www.youtube.com/watch?v=ml5unWBU7Wc" TargetMode="External"/><Relationship Id="rId_hyperlink_859" Type="http://schemas.openxmlformats.org/officeDocument/2006/relationships/hyperlink" Target="https://www.bb-salut.ru/product/festivalnye-shary-vs-0044-raskaty-groma-festival-balls" TargetMode="External"/><Relationship Id="rId_hyperlink_860" Type="http://schemas.openxmlformats.org/officeDocument/2006/relationships/hyperlink" Target="https://www.youtube.com/watch?v=2-QZVH1QbE8" TargetMode="External"/><Relationship Id="rId_hyperlink_861" Type="http://schemas.openxmlformats.org/officeDocument/2006/relationships/hyperlink" Target="https://www.bb-salut.ru/product/festivalnye-shary-vs-0046-pushka-artillery-shells-2-h-8" TargetMode="External"/><Relationship Id="rId_hyperlink_862" Type="http://schemas.openxmlformats.org/officeDocument/2006/relationships/hyperlink" Target="https://www.youtube.com/watch?v=p9ID-rAzfaY" TargetMode="External"/><Relationship Id="rId_hyperlink_863" Type="http://schemas.openxmlformats.org/officeDocument/2006/relationships/hyperlink" Target="https://www.bb-salut.ru/product/nebesnyj-fonarik-s-dnyom-rozhdeniya-shariki-belyj" TargetMode="External"/><Relationship Id="rId_hyperlink_864" Type="http://schemas.openxmlformats.org/officeDocument/2006/relationships/hyperlink" Target="https://www.bb-salut.ru/product/nebesnyj-fonarik-s-dnyom-rozhdeniya-svechki-zheltyj" TargetMode="External"/><Relationship Id="rId_hyperlink_865" Type="http://schemas.openxmlformats.org/officeDocument/2006/relationships/hyperlink" Target="https://www.bb-salut.ru/product/nebesnyj-fonarik-s-dnyom-rozhdeniya-tortik-belyj" TargetMode="External"/><Relationship Id="rId_hyperlink_866" Type="http://schemas.openxmlformats.org/officeDocument/2006/relationships/hyperlink" Target="https://www.bb-salut.ru/product/nebesnyj-fonarik-s-dnyom-rozhdeniya-belyj" TargetMode="External"/><Relationship Id="rId_hyperlink_867" Type="http://schemas.openxmlformats.org/officeDocument/2006/relationships/hyperlink" Target="https://www.bb-salut.ru/product/nebesnyj-fonarik-s-dnyom-rozhdeniya-zvezdochki-goluboj" TargetMode="External"/><Relationship Id="rId_hyperlink_868" Type="http://schemas.openxmlformats.org/officeDocument/2006/relationships/hyperlink" Target="https://www.bb-salut.ru/product/nebesnyj-fonarik-s-dnyom-rozhdeniya-zvezdochki-rozovyj" TargetMode="External"/><Relationship Id="rId_hyperlink_869" Type="http://schemas.openxmlformats.org/officeDocument/2006/relationships/hyperlink" Target="https://www.bb-salut.ru/product/nebesnyj-fonarik-s-dr-goluboj" TargetMode="External"/><Relationship Id="rId_hyperlink_870" Type="http://schemas.openxmlformats.org/officeDocument/2006/relationships/hyperlink" Target="https://www.bb-salut.ru/product/nebesnyj-fonarik-s-dr-zheltyj" TargetMode="External"/><Relationship Id="rId_hyperlink_871" Type="http://schemas.openxmlformats.org/officeDocument/2006/relationships/hyperlink" Target="https://www.bb-salut.ru/product/nebesnyj-fonarik-s-dr-zelenyj" TargetMode="External"/><Relationship Id="rId_hyperlink_872" Type="http://schemas.openxmlformats.org/officeDocument/2006/relationships/hyperlink" Target="https://www.bb-salut.ru/product/nebesnyj-fonarik-s-dnyom-rozhdeniya-tebya-noty-zelenyj" TargetMode="External"/><Relationship Id="rId_hyperlink_873" Type="http://schemas.openxmlformats.org/officeDocument/2006/relationships/hyperlink" Target="https://www.bb-salut.ru/product/nebesnyj-fonarik-s-dnyom-rozhdeniya-tebya-noty-rozovyj" TargetMode="External"/><Relationship Id="rId_hyperlink_874" Type="http://schemas.openxmlformats.org/officeDocument/2006/relationships/hyperlink" Target="https://www.bb-salut.ru/product/nebesnyj-fonarik-s-dnyom-rozhdeniya-tebya-noty-fioletovyj" TargetMode="External"/><Relationship Id="rId_hyperlink_875" Type="http://schemas.openxmlformats.org/officeDocument/2006/relationships/hyperlink" Target="https://www.bb-salut.ru/product/nebesnyj-fonarik-ya-tebya-lyublyu-serdce-goluboj" TargetMode="External"/><Relationship Id="rId_hyperlink_876" Type="http://schemas.openxmlformats.org/officeDocument/2006/relationships/hyperlink" Target="https://www.bb-salut.ru/product/nebesnyj-fonarik-ya-tebya-lyublyu-serdce-krasnyj" TargetMode="External"/><Relationship Id="rId_hyperlink_877" Type="http://schemas.openxmlformats.org/officeDocument/2006/relationships/hyperlink" Target="https://www.bb-salut.ru/product/nebesnyj-fonarik-ya-lyublyu-tebya-serdce-rozovoe-strana-karnavaliya" TargetMode="External"/><Relationship Id="rId_hyperlink_878" Type="http://schemas.openxmlformats.org/officeDocument/2006/relationships/hyperlink" Target="https://www.bb-salut.ru/product/nebesnyj-fonarik-ya-lyublyu-tebya-serdce-temno-rozovoe-strana-karnavaliya" TargetMode="External"/><Relationship Id="rId_hyperlink_879" Type="http://schemas.openxmlformats.org/officeDocument/2006/relationships/hyperlink" Target="https://www.bb-salut.ru/product/nebesnyj-fonarik-ya-lyublyu-tebya-serdce-fioletovoe-strana-karnavaliya" TargetMode="External"/><Relationship Id="rId_hyperlink_880" Type="http://schemas.openxmlformats.org/officeDocument/2006/relationships/hyperlink" Target="https://www.bb-salut.ru/product/nebesnyj-fonarik-ty-moj-kosmos-fioletovyj" TargetMode="External"/><Relationship Id="rId_hyperlink_881" Type="http://schemas.openxmlformats.org/officeDocument/2006/relationships/hyperlink" Target="https://www.bb-salut.ru/product/nebesnyj-fonarik-s-dnyom-rozhdeniya-mysli-pozitivno-i-vse-poluchitsya-zheltyj" TargetMode="External"/><Relationship Id="rId_hyperlink_882" Type="http://schemas.openxmlformats.org/officeDocument/2006/relationships/hyperlink" Target="https://www.bb-salut.ru/product/nebesnyj-fonarik-ostorozhno-vse-mechty-sbudutsya-zheltyj" TargetMode="External"/><Relationship Id="rId_hyperlink_883" Type="http://schemas.openxmlformats.org/officeDocument/2006/relationships/hyperlink" Target="https://www.bb-salut.ru/product/nebesnyj-fonarik-pozdravlyayu-s-chem-to-tam-belyj" TargetMode="External"/><Relationship Id="rId_hyperlink_884" Type="http://schemas.openxmlformats.org/officeDocument/2006/relationships/hyperlink" Target="https://www.bb-salut.ru/product/nebesnyj-fonarik-s-dnyom-rozhdeniya-volshebnik-zheltyj" TargetMode="External"/><Relationship Id="rId_hyperlink_885" Type="http://schemas.openxmlformats.org/officeDocument/2006/relationships/hyperlink" Target="https://www.bb-salut.ru/product/maska-karnavalnaya-kruzhevnaya-avgustejshaya-osoba-m14" TargetMode="External"/><Relationship Id="rId_hyperlink_886" Type="http://schemas.openxmlformats.org/officeDocument/2006/relationships/hyperlink" Target="https://www.bb-salut.ru/product/maska-dlya-hellouina-cherep-bronzovyj-m19" TargetMode="External"/><Relationship Id="rId_hyperlink_887" Type="http://schemas.openxmlformats.org/officeDocument/2006/relationships/hyperlink" Target="https://www.bb-salut.ru/product/maska-karnavalnaya-snegurochka" TargetMode="External"/><Relationship Id="rId_hyperlink_888" Type="http://schemas.openxmlformats.org/officeDocument/2006/relationships/hyperlink" Target="https://www.bb-salut.ru/product/svecha-dlya-torta-zolotaya-cifra-0" TargetMode="External"/><Relationship Id="rId_hyperlink_889" Type="http://schemas.openxmlformats.org/officeDocument/2006/relationships/hyperlink" Target="https://www.bb-salut.ru/product/svecha-dlya-torta-zolotaya-cifra-3" TargetMode="External"/><Relationship Id="rId_hyperlink_890" Type="http://schemas.openxmlformats.org/officeDocument/2006/relationships/hyperlink" Target="https://www.bb-salut.ru/product/svecha-dlya-torta-zolotaya-cifra-4" TargetMode="External"/><Relationship Id="rId_hyperlink_891" Type="http://schemas.openxmlformats.org/officeDocument/2006/relationships/hyperlink" Target="https://www.bb-salut.ru/product/svecha-dlya-torta-zolotaya-cifra-5" TargetMode="External"/><Relationship Id="rId_hyperlink_892" Type="http://schemas.openxmlformats.org/officeDocument/2006/relationships/hyperlink" Target="https://www.bb-salut.ru/product/svecha-dlya-torta-zolotaya-cifra-6" TargetMode="External"/><Relationship Id="rId_hyperlink_893" Type="http://schemas.openxmlformats.org/officeDocument/2006/relationships/hyperlink" Target="https://www.bb-salut.ru/product/svecha-dlya-torta-zolotaya-cifra-8" TargetMode="External"/><Relationship Id="rId_hyperlink_894" Type="http://schemas.openxmlformats.org/officeDocument/2006/relationships/hyperlink" Target="https://www.bb-salut.ru/product/svecha-dlya-torta-zolotaya-cifra-9" TargetMode="External"/><Relationship Id="rId_hyperlink_895" Type="http://schemas.openxmlformats.org/officeDocument/2006/relationships/hyperlink" Target="https://www.bb-salut.ru/product/svecha-dlya-torta-s-dnem-rozhdeniya-cifra-1" TargetMode="External"/><Relationship Id="rId_hyperlink_896" Type="http://schemas.openxmlformats.org/officeDocument/2006/relationships/hyperlink" Target="https://www.bb-salut.ru/product/svecha-dlya-torta-s-dnem-rozhdeniya-cifra-2" TargetMode="External"/><Relationship Id="rId_hyperlink_897" Type="http://schemas.openxmlformats.org/officeDocument/2006/relationships/hyperlink" Target="https://www.bb-salut.ru/product/svecha-dlya-torta-s-dnem-rozhdeniya-cifra-3" TargetMode="External"/><Relationship Id="rId_hyperlink_898" Type="http://schemas.openxmlformats.org/officeDocument/2006/relationships/hyperlink" Target="https://www.bb-salut.ru/product/svecha-dlya-torta-s-dnem-rozhdeniya-cifra-4" TargetMode="External"/><Relationship Id="rId_hyperlink_899" Type="http://schemas.openxmlformats.org/officeDocument/2006/relationships/hyperlink" Target="https://www.bb-salut.ru/product/svecha-dlya-torta-s-dnem-rozhdeniya-cifra-5" TargetMode="External"/><Relationship Id="rId_hyperlink_900" Type="http://schemas.openxmlformats.org/officeDocument/2006/relationships/hyperlink" Target="https://www.bb-salut.ru/product/svecha-dlya-torta-s-dnem-rozhdeniya-cifra-6" TargetMode="External"/><Relationship Id="rId_hyperlink_901" Type="http://schemas.openxmlformats.org/officeDocument/2006/relationships/hyperlink" Target="https://www.bb-salut.ru/product/svecha-dlya-torta-s-dnem-rozhdeniya-cifra-7" TargetMode="External"/><Relationship Id="rId_hyperlink_902" Type="http://schemas.openxmlformats.org/officeDocument/2006/relationships/hyperlink" Target="https://www.bb-salut.ru/product/svecha-dlya-torta-s-dnem-rozhdeniya-cifra-9" TargetMode="External"/><Relationship Id="rId_hyperlink_903" Type="http://schemas.openxmlformats.org/officeDocument/2006/relationships/hyperlink" Target="https://www.bb-salut.ru/product/svetyashchiesya-braslety-miks-upakovka-50" TargetMode="External"/><Relationship Id="rId_hyperlink_904" Type="http://schemas.openxmlformats.org/officeDocument/2006/relationships/hyperlink" Target="https://www.bb-salut.ru/product/svechi-dlya-torta-kosmos" TargetMode="External"/><Relationship Id="rId_hyperlink_905" Type="http://schemas.openxmlformats.org/officeDocument/2006/relationships/hyperlink" Target="https://www.bb-salut.ru/product/svecha-dlya-torta-serebryanaya-cifra-0" TargetMode="External"/><Relationship Id="rId_hyperlink_906" Type="http://schemas.openxmlformats.org/officeDocument/2006/relationships/hyperlink" Target="https://www.bb-salut.ru/product/svecha-dlya-torta-serebryanaya-cifra-4" TargetMode="External"/><Relationship Id="rId_hyperlink_907" Type="http://schemas.openxmlformats.org/officeDocument/2006/relationships/hyperlink" Target="https://www.bb-salut.ru/product/svecha-dlya-torta-serebryanaya-cifra-5" TargetMode="External"/><Relationship Id="rId_hyperlink_908" Type="http://schemas.openxmlformats.org/officeDocument/2006/relationships/hyperlink" Target="https://www.bb-salut.ru/product/svecha-dlya-torta-serebryanaya-cifra-2" TargetMode="External"/><Relationship Id="rId_hyperlink_909" Type="http://schemas.openxmlformats.org/officeDocument/2006/relationships/hyperlink" Target="https://www.bb-salut.ru/product/svecha-dlya-torta-serebryanaya-cifra-3" TargetMode="External"/><Relationship Id="rId_hyperlink_910" Type="http://schemas.openxmlformats.org/officeDocument/2006/relationships/hyperlink" Target="https://www.bb-salut.ru/product/svecha-dlya-torta-serebryanaya-cifra-6" TargetMode="External"/><Relationship Id="rId_hyperlink_911" Type="http://schemas.openxmlformats.org/officeDocument/2006/relationships/hyperlink" Target="https://www.bb-salut.ru/product/svecha-dlya-torta-serebryanaya-cifra-7" TargetMode="External"/><Relationship Id="rId_hyperlink_912" Type="http://schemas.openxmlformats.org/officeDocument/2006/relationships/hyperlink" Target="https://www.bb-salut.ru/product/svecha-dlya-torta-serebryanaya-cifra-8" TargetMode="External"/><Relationship Id="rId_hyperlink_913" Type="http://schemas.openxmlformats.org/officeDocument/2006/relationships/hyperlink" Target="https://www.bb-salut.ru/product/svecha-dlya-torta-serebryanaya-cifra-9" TargetMode="External"/><Relationship Id="rId_hyperlink_914" Type="http://schemas.openxmlformats.org/officeDocument/2006/relationships/hyperlink" Target="https://www.bb-salut.ru/product/svecha-dlya-torta-gran-zolotaya-cifra-0-7-8-sm" TargetMode="External"/><Relationship Id="rId_hyperlink_915" Type="http://schemas.openxmlformats.org/officeDocument/2006/relationships/hyperlink" Target="https://www.bb-salut.ru/product/svecha-dlya-torta-gran-zolotaya-cifra-2-7-8-sm" TargetMode="External"/><Relationship Id="rId_hyperlink_916" Type="http://schemas.openxmlformats.org/officeDocument/2006/relationships/hyperlink" Target="https://www.bb-salut.ru/product/svecha-dlya-torta-gran-zolotaya-cifra-3-7-8-sm" TargetMode="External"/><Relationship Id="rId_hyperlink_917" Type="http://schemas.openxmlformats.org/officeDocument/2006/relationships/hyperlink" Target="https://www.bb-salut.ru/product/svecha-dlya-torta-gran-zolotaya-cifra-4-7-8-sm" TargetMode="External"/><Relationship Id="rId_hyperlink_918" Type="http://schemas.openxmlformats.org/officeDocument/2006/relationships/hyperlink" Target="https://www.bb-salut.ru/product/svecha-dlya-torta-gran-zolotaya-cifra-5-7-8-sm" TargetMode="External"/><Relationship Id="rId_hyperlink_919" Type="http://schemas.openxmlformats.org/officeDocument/2006/relationships/hyperlink" Target="https://www.bb-salut.ru/product/svecha-dlya-torta-gran-zolotaya-cifra-6-7-8-sm" TargetMode="External"/><Relationship Id="rId_hyperlink_920" Type="http://schemas.openxmlformats.org/officeDocument/2006/relationships/hyperlink" Target="https://www.bb-salut.ru/product/svecha-dlya-torta-gran-zolotaya-cifra-7-7-8-sm" TargetMode="External"/><Relationship Id="rId_hyperlink_921" Type="http://schemas.openxmlformats.org/officeDocument/2006/relationships/hyperlink" Target="https://www.bb-salut.ru/product/svecha-dlya-torta-gran-zolotaya-cifra-9-7-8-sm" TargetMode="External"/><Relationship Id="rId_hyperlink_922" Type="http://schemas.openxmlformats.org/officeDocument/2006/relationships/hyperlink" Target="https://www.bb-salut.ru/product/svecha-dlya-torta-gran-serebryanaya-cifra-0-7-8-sm" TargetMode="External"/><Relationship Id="rId_hyperlink_923" Type="http://schemas.openxmlformats.org/officeDocument/2006/relationships/hyperlink" Target="https://www.bb-salut.ru/product/svecha-dlya-torta-gran-serebryanaya-cifra-2-7-8-sm" TargetMode="External"/><Relationship Id="rId_hyperlink_924" Type="http://schemas.openxmlformats.org/officeDocument/2006/relationships/hyperlink" Target="https://www.bb-salut.ru/product/svecha-dlya-torta-gran-serebryanaya-cifra-3-7-8-sm" TargetMode="External"/><Relationship Id="rId_hyperlink_925" Type="http://schemas.openxmlformats.org/officeDocument/2006/relationships/hyperlink" Target="https://www.bb-salut.ru/product/svecha-dlya-torta-gran-serebryanaya-cifra-4-7-8-sm" TargetMode="External"/><Relationship Id="rId_hyperlink_926" Type="http://schemas.openxmlformats.org/officeDocument/2006/relationships/hyperlink" Target="https://www.bb-salut.ru/product/svecha-dlya-torta-gran-serebryanaya-cifra-5-7-8-sm" TargetMode="External"/><Relationship Id="rId_hyperlink_927" Type="http://schemas.openxmlformats.org/officeDocument/2006/relationships/hyperlink" Target="https://www.bb-salut.ru/product/svecha-dlya-torta-gran-serebryanaya-cifra-6-7-8-sm" TargetMode="External"/><Relationship Id="rId_hyperlink_928" Type="http://schemas.openxmlformats.org/officeDocument/2006/relationships/hyperlink" Target="https://www.bb-salut.ru/product/svecha-dlya-torta-gran-serebryanaya-cifra-7-7-8-sm" TargetMode="External"/><Relationship Id="rId_hyperlink_929" Type="http://schemas.openxmlformats.org/officeDocument/2006/relationships/hyperlink" Target="https://www.bb-salut.ru/product/svecha-dlya-torta-gran-serebryanaya-cifra-8-7-8-sm" TargetMode="External"/><Relationship Id="rId_hyperlink_930" Type="http://schemas.openxmlformats.org/officeDocument/2006/relationships/hyperlink" Target="https://www.bb-salut.ru/product/svecha-dlya-torta-gran-serebryanaya-cifra-9-7-8-sm" TargetMode="External"/><Relationship Id="rId_hyperlink_931" Type="http://schemas.openxmlformats.org/officeDocument/2006/relationships/hyperlink" Target="https://www.bb-salut.ru/product/kolpak-krasnyj-novogodnij-atlasnyi" TargetMode="External"/><Relationship Id="rId_hyperlink_932" Type="http://schemas.openxmlformats.org/officeDocument/2006/relationships/hyperlink" Target="https://www.bb-salut.ru/product/svecha-dlya-torta-gran-zolotaya-cifra-5" TargetMode="External"/><Relationship Id="rId_hyperlink_933" Type="http://schemas.openxmlformats.org/officeDocument/2006/relationships/hyperlink" Target="https://www.bb-salut.ru/product/svecha-dlya-torta-gran-zolotaya-cifra-4" TargetMode="External"/><Relationship Id="rId_hyperlink_934" Type="http://schemas.openxmlformats.org/officeDocument/2006/relationships/hyperlink" Target="https://www.bb-salut.ru/product/svecha-dlya-torta-gran-zolotaya-cifra-6" TargetMode="External"/><Relationship Id="rId_hyperlink_935" Type="http://schemas.openxmlformats.org/officeDocument/2006/relationships/hyperlink" Target="https://www.bb-salut.ru/product/svecha-dlya-torta-gran-zolotaya-cifra-7" TargetMode="External"/><Relationship Id="rId_hyperlink_936" Type="http://schemas.openxmlformats.org/officeDocument/2006/relationships/hyperlink" Target="https://www.bb-salut.ru/product/svecha-dlya-torta-gran-zolotaya-cifra-0" TargetMode="External"/><Relationship Id="rId_hyperlink_937" Type="http://schemas.openxmlformats.org/officeDocument/2006/relationships/hyperlink" Target="https://www.bb-salut.ru/product/svecha-dlya-torta-morozhenoe-belo-zolotaya-cifra-0" TargetMode="External"/><Relationship Id="rId_hyperlink_938" Type="http://schemas.openxmlformats.org/officeDocument/2006/relationships/hyperlink" Target="https://www.bb-salut.ru/product/svecha-dlya-torta-morozhenoe-belo-zolotaya-cifra-3" TargetMode="External"/><Relationship Id="rId_hyperlink_939" Type="http://schemas.openxmlformats.org/officeDocument/2006/relationships/hyperlink" Target="https://www.bb-salut.ru/product/svecha-dlya-torta-morozhenoe-belo-zolotaya-cifra-4" TargetMode="External"/><Relationship Id="rId_hyperlink_940" Type="http://schemas.openxmlformats.org/officeDocument/2006/relationships/hyperlink" Target="https://www.bb-salut.ru/product/svecha-dlya-torta-morozhenoe-belo-zolotaya-cifra-5" TargetMode="External"/><Relationship Id="rId_hyperlink_941" Type="http://schemas.openxmlformats.org/officeDocument/2006/relationships/hyperlink" Target="https://www.bb-salut.ru/product/svecha-dlya-torta-morozhenoe-belo-zolotaya-cifra-6" TargetMode="External"/><Relationship Id="rId_hyperlink_942" Type="http://schemas.openxmlformats.org/officeDocument/2006/relationships/hyperlink" Target="https://www.bb-salut.ru/product/svecha-dlya-torta-morozhenoe-belo-zolotaya-cifra-7" TargetMode="External"/><Relationship Id="rId_hyperlink_943" Type="http://schemas.openxmlformats.org/officeDocument/2006/relationships/hyperlink" Target="https://www.bb-salut.ru/product/svecha-dlya-torta-morozhenoe-belo-zolotaya-cifra-8" TargetMode="External"/><Relationship Id="rId_hyperlink_944" Type="http://schemas.openxmlformats.org/officeDocument/2006/relationships/hyperlink" Target="https://www.bb-salut.ru/product/svecha-dlya-torta-morozhenoe-belo-zolotaya-cifra-9" TargetMode="External"/><Relationship Id="rId_hyperlink_945" Type="http://schemas.openxmlformats.org/officeDocument/2006/relationships/hyperlink" Target="https://www.bb-salut.ru/product/svecha-dlya-torta-cifra-4" TargetMode="External"/><Relationship Id="rId_hyperlink_946" Type="http://schemas.openxmlformats.org/officeDocument/2006/relationships/hyperlink" Target="https://www.bb-salut.ru/product/svecha-dlya-torta-cifra-8" TargetMode="External"/><Relationship Id="rId_hyperlink_947" Type="http://schemas.openxmlformats.org/officeDocument/2006/relationships/hyperlink" Target="https://www.bb-salut.ru/product/podstavki-dlya-svechej" TargetMode="External"/><Relationship Id="rId_hyperlink_948" Type="http://schemas.openxmlformats.org/officeDocument/2006/relationships/hyperlink" Target="https://www.bb-salut.ru/product/svechi-dlya-torta-blesk-s-podstavkami" TargetMode="External"/><Relationship Id="rId_hyperlink_949" Type="http://schemas.openxmlformats.org/officeDocument/2006/relationships/hyperlink" Target="https://www.bb-salut.ru/product/svecha-dlya-torta-cifra-4-blesk" TargetMode="External"/><Relationship Id="rId_hyperlink_950" Type="http://schemas.openxmlformats.org/officeDocument/2006/relationships/hyperlink" Target="https://www.bb-salut.ru/product/konfetti-bumazhnoe-lepestki-roz-krasnoe" TargetMode="External"/><Relationship Id="rId_hyperlink_951" Type="http://schemas.openxmlformats.org/officeDocument/2006/relationships/hyperlink" Target="https://www.bb-salut.ru/product/konfetti-bumazhnoe-serdca-krasnoe" TargetMode="External"/><Relationship Id="rId_hyperlink_952" Type="http://schemas.openxmlformats.org/officeDocument/2006/relationships/hyperlink" Target="https://www.bb-salut.ru/product/konfetti-metllizirovannoe-17-h-55-mm-zoloto" TargetMode="External"/><Relationship Id="rId_hyperlink_953" Type="http://schemas.openxmlformats.org/officeDocument/2006/relationships/hyperlink" Target="https://www.bb-salut.ru/product/girlyanda-elochnaya-shariki-lda-raznocvetnaya-5m" TargetMode="External"/><Relationship Id="rId_hyperlink_954" Type="http://schemas.openxmlformats.org/officeDocument/2006/relationships/hyperlink" Target="https://www.bb-salut.ru/product/girlyanda-elochnaya-shishki-sosnovye-raznocvetnaya-5m" TargetMode="External"/><Relationship Id="rId_hyperlink_955" Type="http://schemas.openxmlformats.org/officeDocument/2006/relationships/hyperlink" Target="https://www.bb-salut.ru/product/girlyanda-elochnaya-cvetochki-raznocvetnaya-5m" TargetMode="External"/><Relationship Id="rId_hyperlink_956" Type="http://schemas.openxmlformats.org/officeDocument/2006/relationships/hyperlink" Target="https://www.bb-salut.ru/product/odnorazovyj-stvol-dlya-konfetti-pushki-eec01-40-sm-pustoj" TargetMode="External"/><Relationship Id="rId_hyperlink_957" Type="http://schemas.openxmlformats.org/officeDocument/2006/relationships/hyperlink" Target="https://www.bb-salut.ru/product/odnorazovyj-stvol-dlya-konfetti-pushki-eec02-80-sm-pusto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7"/>
  <sheetViews>
    <sheetView tabSelected="1" workbookViewId="0" showGridLines="true" showRowColHeaders="1">
      <pane ySplit="1" topLeftCell="A2" activePane="bottomLeft" state="frozen"/>
      <selection pane="bottomLeft" activeCell="A637" sqref="A637"/>
    </sheetView>
  </sheetViews>
  <sheetFormatPr defaultRowHeight="14.4" outlineLevelRow="0" outlineLevelCol="0"/>
  <cols>
    <col min="1" max="1" width="8" customWidth="true" style="0"/>
    <col min="2" max="2" width="41" customWidth="true" style="0"/>
    <col min="3" max="3" width="7" customWidth="true" style="0"/>
    <col min="4" max="4" width="16" customWidth="true" style="0"/>
    <col min="5" max="5" width="9" customWidth="true" style="0"/>
    <col min="6" max="6" width="16" customWidth="true" style="0"/>
    <col min="7" max="7" width="7" customWidth="true" style="0"/>
    <col min="8" max="8" width="13" customWidth="true" style="0"/>
    <col min="9" max="9" width="11" customWidth="true" style="0"/>
    <col min="10" max="10" width="10" customWidth="true" style="0"/>
    <col min="11" max="11" width="8" customWidth="true" style="0"/>
    <col min="12" max="12" width="10" customWidth="true" style="0"/>
    <col min="13" max="13" width="10" customWidth="true" style="0"/>
  </cols>
  <sheetData>
    <row r="1" spans="1:13" customHeight="1" ht="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3" t="s">
        <v>11</v>
      </c>
      <c r="M1" s="1" t="s">
        <v>12</v>
      </c>
    </row>
    <row r="2" spans="1:13">
      <c r="A2"/>
      <c r="C2" s="4" t="s">
        <v>13</v>
      </c>
    </row>
    <row r="3" spans="1:13">
      <c r="C3" s="5" t="s">
        <v>14</v>
      </c>
    </row>
    <row r="4" spans="1:13" customHeight="1" ht="50">
      <c r="C4" s="6" t="s">
        <v>15</v>
      </c>
    </row>
    <row r="5" spans="1:13">
      <c r="A5" s="7" t="s">
        <v>16</v>
      </c>
      <c r="C5" s="8" t="s">
        <v>17</v>
      </c>
    </row>
    <row r="6" spans="1:13">
      <c r="A6" s="7" t="s">
        <v>18</v>
      </c>
      <c r="C6" s="9" t="s">
        <v>19</v>
      </c>
      <c r="D6" s="9"/>
      <c r="E6" s="9" t="s">
        <v>20</v>
      </c>
    </row>
    <row r="7" spans="1:13">
      <c r="A7" s="7"/>
      <c r="C7" s="10" t="s">
        <v>21</v>
      </c>
    </row>
    <row r="8" spans="1:13">
      <c r="A8" s="7" t="s">
        <v>22</v>
      </c>
      <c r="C8" s="10" t="s">
        <v>23</v>
      </c>
    </row>
    <row r="9" spans="1:13">
      <c r="A9" s="7" t="s">
        <v>24</v>
      </c>
      <c r="C9" s="8" t="s">
        <v>25</v>
      </c>
      <c r="G9" s="10" t="s">
        <v>26</v>
      </c>
    </row>
    <row r="10" spans="1:13" hidden="true"/>
    <row r="11" spans="1:13" hidden="true"/>
    <row r="12" spans="1:13" hidden="true"/>
    <row r="13" spans="1:13" hidden="true"/>
    <row r="14" spans="1:13" hidden="true"/>
    <row r="15" spans="1:13" hidden="true"/>
    <row r="16" spans="1:13">
      <c r="A16" s="11" t="s">
        <v>27</v>
      </c>
      <c r="M16" s="12">
        <v>0</v>
      </c>
    </row>
    <row r="17" spans="1:13" customHeight="1" ht="32">
      <c r="A17" s="11" t="s">
        <v>28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 t="str">
        <f>SUM(M19:M632)</f>
        <v>0</v>
      </c>
    </row>
    <row r="18" spans="1:13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2" t="s">
        <v>8</v>
      </c>
      <c r="J18" s="1" t="s">
        <v>9</v>
      </c>
      <c r="K18" s="1" t="s">
        <v>10</v>
      </c>
      <c r="L18" s="3" t="s">
        <v>11</v>
      </c>
      <c r="M18" s="1" t="s">
        <v>12</v>
      </c>
    </row>
    <row r="19" spans="1:13">
      <c r="A19" s="13" t="s">
        <v>29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>
      <c r="A20" s="15" t="s">
        <v>30</v>
      </c>
      <c r="B20" s="16" t="s">
        <v>31</v>
      </c>
      <c r="C20" s="17" t="s">
        <v>32</v>
      </c>
      <c r="D20" s="16" t="s">
        <v>29</v>
      </c>
      <c r="E20" s="16" t="s">
        <v>33</v>
      </c>
      <c r="F20" s="16" t="s">
        <v>34</v>
      </c>
      <c r="G20" s="18">
        <v>912</v>
      </c>
      <c r="H20" s="19" t="str">
        <f>ROUND((912/100*(100-M16)),0)</f>
        <v>0</v>
      </c>
      <c r="I20" s="14">
        <v>30</v>
      </c>
      <c r="J20" s="16" t="s">
        <v>35</v>
      </c>
      <c r="K20" s="16" t="s">
        <v>36</v>
      </c>
      <c r="L20" s="16"/>
      <c r="M20" s="16" t="str">
        <f>IF(L20="","",H20*L20)</f>
        <v>0</v>
      </c>
    </row>
    <row r="21" spans="1:13">
      <c r="A21" s="15" t="s">
        <v>37</v>
      </c>
      <c r="B21" s="16" t="s">
        <v>38</v>
      </c>
      <c r="C21" s="17" t="s">
        <v>32</v>
      </c>
      <c r="D21" s="16" t="s">
        <v>29</v>
      </c>
      <c r="E21" s="16" t="s">
        <v>39</v>
      </c>
      <c r="F21" s="16" t="s">
        <v>34</v>
      </c>
      <c r="G21" s="18">
        <v>1135</v>
      </c>
      <c r="H21" s="19" t="str">
        <f>ROUND((1135/100*(100-M16)),0)</f>
        <v>0</v>
      </c>
      <c r="I21" s="14">
        <v>19</v>
      </c>
      <c r="J21" s="16" t="s">
        <v>35</v>
      </c>
      <c r="K21" s="16" t="s">
        <v>36</v>
      </c>
      <c r="L21" s="16"/>
      <c r="M21" s="16" t="str">
        <f>IF(L21="","",H21*L21)</f>
        <v>0</v>
      </c>
    </row>
    <row r="22" spans="1:13">
      <c r="A22" s="15" t="s">
        <v>40</v>
      </c>
      <c r="B22" s="16" t="s">
        <v>41</v>
      </c>
      <c r="C22" s="17" t="s">
        <v>32</v>
      </c>
      <c r="D22" s="16" t="s">
        <v>29</v>
      </c>
      <c r="E22" s="16" t="s">
        <v>42</v>
      </c>
      <c r="F22" s="16" t="s">
        <v>34</v>
      </c>
      <c r="G22" s="18">
        <v>1418</v>
      </c>
      <c r="H22" s="19" t="str">
        <f>ROUND((1418/100*(100-M16)),0)</f>
        <v>0</v>
      </c>
      <c r="I22" s="14">
        <v>11</v>
      </c>
      <c r="J22" s="16" t="s">
        <v>43</v>
      </c>
      <c r="K22" s="16" t="s">
        <v>36</v>
      </c>
      <c r="L22" s="16"/>
      <c r="M22" s="16" t="str">
        <f>IF(L22="","",H22*L22)</f>
        <v>0</v>
      </c>
    </row>
    <row r="23" spans="1:13">
      <c r="A23" s="15" t="s">
        <v>44</v>
      </c>
      <c r="B23" s="16" t="s">
        <v>45</v>
      </c>
      <c r="C23" s="17" t="s">
        <v>32</v>
      </c>
      <c r="D23" s="16" t="s">
        <v>29</v>
      </c>
      <c r="E23" s="16" t="s">
        <v>46</v>
      </c>
      <c r="F23" s="16" t="s">
        <v>34</v>
      </c>
      <c r="G23" s="18">
        <v>5216</v>
      </c>
      <c r="H23" s="19" t="str">
        <f>ROUND((5216/100*(100-M16)),0)</f>
        <v>0</v>
      </c>
      <c r="I23" s="14">
        <v>8</v>
      </c>
      <c r="J23" s="16" t="s">
        <v>47</v>
      </c>
      <c r="K23" s="16" t="s">
        <v>36</v>
      </c>
      <c r="L23" s="16"/>
      <c r="M23" s="16" t="str">
        <f>IF(L23="","",H23*L23)</f>
        <v>0</v>
      </c>
    </row>
    <row r="24" spans="1:13">
      <c r="A24" s="15" t="s">
        <v>48</v>
      </c>
      <c r="B24" s="16" t="s">
        <v>49</v>
      </c>
      <c r="C24" s="17" t="s">
        <v>32</v>
      </c>
      <c r="D24" s="16" t="s">
        <v>29</v>
      </c>
      <c r="E24" s="16" t="s">
        <v>50</v>
      </c>
      <c r="F24" s="16" t="s">
        <v>34</v>
      </c>
      <c r="G24" s="18">
        <v>1620</v>
      </c>
      <c r="H24" s="19" t="str">
        <f>ROUND((1620/100*(100-M16)),0)</f>
        <v>0</v>
      </c>
      <c r="I24" s="14">
        <v>8</v>
      </c>
      <c r="J24" s="16" t="s">
        <v>51</v>
      </c>
      <c r="K24" s="16" t="s">
        <v>36</v>
      </c>
      <c r="L24" s="16"/>
      <c r="M24" s="16" t="str">
        <f>IF(L24="","",H24*L24)</f>
        <v>0</v>
      </c>
    </row>
    <row r="25" spans="1:13">
      <c r="A25" s="15" t="s">
        <v>52</v>
      </c>
      <c r="B25" s="16" t="s">
        <v>53</v>
      </c>
      <c r="C25" s="17" t="s">
        <v>32</v>
      </c>
      <c r="D25" s="16" t="s">
        <v>29</v>
      </c>
      <c r="E25" s="16" t="s">
        <v>54</v>
      </c>
      <c r="F25" s="16" t="s">
        <v>34</v>
      </c>
      <c r="G25" s="18">
        <v>1416</v>
      </c>
      <c r="H25" s="19" t="str">
        <f>ROUND((1416/100*(100-M16)),0)</f>
        <v>0</v>
      </c>
      <c r="I25" s="14">
        <v>12</v>
      </c>
      <c r="J25" s="16" t="s">
        <v>43</v>
      </c>
      <c r="K25" s="16" t="s">
        <v>36</v>
      </c>
      <c r="L25" s="16"/>
      <c r="M25" s="16" t="str">
        <f>IF(L25="","",H25*L25)</f>
        <v>0</v>
      </c>
    </row>
    <row r="26" spans="1:13">
      <c r="A26" s="15" t="s">
        <v>55</v>
      </c>
      <c r="B26" s="16" t="s">
        <v>56</v>
      </c>
      <c r="C26" s="17" t="s">
        <v>32</v>
      </c>
      <c r="D26" s="16" t="s">
        <v>29</v>
      </c>
      <c r="E26" s="16" t="s">
        <v>57</v>
      </c>
      <c r="F26" s="16" t="s">
        <v>34</v>
      </c>
      <c r="G26" s="18">
        <v>1990</v>
      </c>
      <c r="H26" s="19" t="str">
        <f>ROUND((1990/100*(100-M16)),0)</f>
        <v>0</v>
      </c>
      <c r="I26" s="14">
        <v>2</v>
      </c>
      <c r="J26" s="16" t="s">
        <v>58</v>
      </c>
      <c r="K26" s="16" t="s">
        <v>36</v>
      </c>
      <c r="L26" s="16"/>
      <c r="M26" s="16" t="str">
        <f>IF(L26="","",H26*L26)</f>
        <v>0</v>
      </c>
    </row>
    <row r="27" spans="1:13">
      <c r="A27" s="15" t="s">
        <v>59</v>
      </c>
      <c r="B27" s="16" t="s">
        <v>60</v>
      </c>
      <c r="C27" s="17" t="s">
        <v>32</v>
      </c>
      <c r="D27" s="16" t="s">
        <v>29</v>
      </c>
      <c r="E27" s="16" t="s">
        <v>61</v>
      </c>
      <c r="F27" s="16" t="s">
        <v>34</v>
      </c>
      <c r="G27" s="18">
        <v>2948</v>
      </c>
      <c r="H27" s="19" t="str">
        <f>ROUND((2948/100*(100-M16)),0)</f>
        <v>0</v>
      </c>
      <c r="I27" s="14">
        <v>9</v>
      </c>
      <c r="J27" s="16" t="s">
        <v>62</v>
      </c>
      <c r="K27" s="16" t="s">
        <v>36</v>
      </c>
      <c r="L27" s="16"/>
      <c r="M27" s="16" t="str">
        <f>IF(L27="","",H27*L27)</f>
        <v>0</v>
      </c>
    </row>
    <row r="28" spans="1:13">
      <c r="A28" s="15" t="s">
        <v>63</v>
      </c>
      <c r="B28" s="16" t="s">
        <v>64</v>
      </c>
      <c r="C28" s="17" t="s">
        <v>32</v>
      </c>
      <c r="D28" s="16" t="s">
        <v>29</v>
      </c>
      <c r="E28" s="16" t="s">
        <v>65</v>
      </c>
      <c r="F28" s="16" t="s">
        <v>34</v>
      </c>
      <c r="G28" s="18">
        <v>4047</v>
      </c>
      <c r="H28" s="19" t="str">
        <f>ROUND((4047/100*(100-M16)),0)</f>
        <v>0</v>
      </c>
      <c r="I28" s="14">
        <v>14</v>
      </c>
      <c r="J28" s="16" t="s">
        <v>47</v>
      </c>
      <c r="K28" s="16" t="s">
        <v>36</v>
      </c>
      <c r="L28" s="16"/>
      <c r="M28" s="16" t="str">
        <f>IF(L28="","",H28*L28)</f>
        <v>0</v>
      </c>
    </row>
    <row r="29" spans="1:13">
      <c r="A29" s="15" t="s">
        <v>66</v>
      </c>
      <c r="B29" s="16" t="s">
        <v>67</v>
      </c>
      <c r="C29" s="17" t="s">
        <v>32</v>
      </c>
      <c r="D29" s="16" t="s">
        <v>29</v>
      </c>
      <c r="E29" s="16" t="s">
        <v>68</v>
      </c>
      <c r="F29" s="16" t="s">
        <v>34</v>
      </c>
      <c r="G29" s="18">
        <v>5635</v>
      </c>
      <c r="H29" s="19" t="str">
        <f>ROUND((5635/100*(100-M16)),0)</f>
        <v>0</v>
      </c>
      <c r="I29" s="14">
        <v>2</v>
      </c>
      <c r="J29" s="16" t="s">
        <v>69</v>
      </c>
      <c r="K29" s="16" t="s">
        <v>36</v>
      </c>
      <c r="L29" s="16"/>
      <c r="M29" s="16" t="str">
        <f>IF(L29="","",H29*L29)</f>
        <v>0</v>
      </c>
    </row>
    <row r="30" spans="1:13">
      <c r="A30" s="15" t="s">
        <v>70</v>
      </c>
      <c r="B30" s="16" t="s">
        <v>71</v>
      </c>
      <c r="C30" s="17" t="s">
        <v>32</v>
      </c>
      <c r="D30" s="16" t="s">
        <v>29</v>
      </c>
      <c r="E30" s="16" t="s">
        <v>72</v>
      </c>
      <c r="F30" s="16" t="s">
        <v>34</v>
      </c>
      <c r="G30" s="18">
        <v>5800</v>
      </c>
      <c r="H30" s="19" t="str">
        <f>ROUND((5800/100*(100-M16)),0)</f>
        <v>0</v>
      </c>
      <c r="I30" s="14">
        <v>17</v>
      </c>
      <c r="J30" s="16" t="s">
        <v>47</v>
      </c>
      <c r="K30" s="16" t="s">
        <v>36</v>
      </c>
      <c r="L30" s="16"/>
      <c r="M30" s="16" t="str">
        <f>IF(L30="","",H30*L30)</f>
        <v>0</v>
      </c>
    </row>
    <row r="31" spans="1:13">
      <c r="A31" s="15" t="s">
        <v>73</v>
      </c>
      <c r="B31" s="16" t="s">
        <v>74</v>
      </c>
      <c r="C31" s="17" t="s">
        <v>32</v>
      </c>
      <c r="D31" s="16" t="s">
        <v>29</v>
      </c>
      <c r="E31" s="16" t="s">
        <v>75</v>
      </c>
      <c r="F31" s="16" t="s">
        <v>34</v>
      </c>
      <c r="G31" s="18">
        <v>1036</v>
      </c>
      <c r="H31" s="19" t="str">
        <f>ROUND((1036/100*(100-M16)),0)</f>
        <v>0</v>
      </c>
      <c r="I31" s="14">
        <v>19</v>
      </c>
      <c r="J31" s="16" t="s">
        <v>43</v>
      </c>
      <c r="K31" s="16" t="s">
        <v>36</v>
      </c>
      <c r="L31" s="16"/>
      <c r="M31" s="16" t="str">
        <f>IF(L31="","",H31*L31)</f>
        <v>0</v>
      </c>
    </row>
    <row r="32" spans="1:13">
      <c r="A32" s="15" t="s">
        <v>76</v>
      </c>
      <c r="B32" s="16" t="s">
        <v>77</v>
      </c>
      <c r="C32" s="17" t="s">
        <v>32</v>
      </c>
      <c r="D32" s="16" t="s">
        <v>29</v>
      </c>
      <c r="E32" s="16" t="s">
        <v>78</v>
      </c>
      <c r="F32" s="16" t="s">
        <v>34</v>
      </c>
      <c r="G32" s="18">
        <v>1382</v>
      </c>
      <c r="H32" s="19" t="str">
        <f>ROUND((1382/100*(100-M16)),0)</f>
        <v>0</v>
      </c>
      <c r="I32" s="14">
        <v>1</v>
      </c>
      <c r="J32" s="16" t="s">
        <v>43</v>
      </c>
      <c r="K32" s="16" t="s">
        <v>36</v>
      </c>
      <c r="L32" s="16"/>
      <c r="M32" s="16" t="str">
        <f>IF(L32="","",H32*L32)</f>
        <v>0</v>
      </c>
    </row>
    <row r="33" spans="1:13">
      <c r="A33" s="15" t="s">
        <v>79</v>
      </c>
      <c r="B33" s="16" t="s">
        <v>80</v>
      </c>
      <c r="C33" s="17" t="s">
        <v>32</v>
      </c>
      <c r="D33" s="16" t="s">
        <v>29</v>
      </c>
      <c r="E33" s="16" t="s">
        <v>81</v>
      </c>
      <c r="F33" s="16" t="s">
        <v>34</v>
      </c>
      <c r="G33" s="18">
        <v>1110</v>
      </c>
      <c r="H33" s="19" t="str">
        <f>ROUND((1110/100*(100-M16)),0)</f>
        <v>0</v>
      </c>
      <c r="I33" s="14">
        <v>13</v>
      </c>
      <c r="J33" s="16" t="s">
        <v>51</v>
      </c>
      <c r="K33" s="16" t="s">
        <v>36</v>
      </c>
      <c r="L33" s="16"/>
      <c r="M33" s="16" t="str">
        <f>IF(L33="","",H33*L33)</f>
        <v>0</v>
      </c>
    </row>
    <row r="34" spans="1:13">
      <c r="A34" s="15" t="s">
        <v>82</v>
      </c>
      <c r="B34" s="16" t="s">
        <v>83</v>
      </c>
      <c r="C34" s="17" t="s">
        <v>32</v>
      </c>
      <c r="D34" s="16" t="s">
        <v>29</v>
      </c>
      <c r="E34" s="16" t="s">
        <v>84</v>
      </c>
      <c r="F34" s="16" t="s">
        <v>34</v>
      </c>
      <c r="G34" s="18">
        <v>1580</v>
      </c>
      <c r="H34" s="19" t="str">
        <f>ROUND((1580/100*(100-M16)),0)</f>
        <v>0</v>
      </c>
      <c r="I34" s="14">
        <v>6</v>
      </c>
      <c r="J34" s="16" t="s">
        <v>58</v>
      </c>
      <c r="K34" s="16" t="s">
        <v>36</v>
      </c>
      <c r="L34" s="16"/>
      <c r="M34" s="16" t="str">
        <f>IF(L34="","",H34*L34)</f>
        <v>0</v>
      </c>
    </row>
    <row r="35" spans="1:13">
      <c r="A35" s="15" t="s">
        <v>85</v>
      </c>
      <c r="B35" s="20" t="s">
        <v>86</v>
      </c>
      <c r="C35" s="17" t="s">
        <v>32</v>
      </c>
      <c r="D35" s="20" t="s">
        <v>87</v>
      </c>
      <c r="E35" s="20" t="s">
        <v>88</v>
      </c>
      <c r="F35" s="20" t="s">
        <v>34</v>
      </c>
      <c r="G35" s="18">
        <v>1399</v>
      </c>
      <c r="H35" s="19" t="str">
        <f>ROUND((1399/100*(100-M16)),0)</f>
        <v>0</v>
      </c>
      <c r="I35" s="14">
        <v>1</v>
      </c>
      <c r="J35" s="16" t="s">
        <v>62</v>
      </c>
      <c r="K35" s="16" t="s">
        <v>36</v>
      </c>
      <c r="L35" s="16"/>
      <c r="M35" s="16" t="str">
        <f>IF(L35="","",H35*L35)</f>
        <v>0</v>
      </c>
    </row>
    <row r="36" spans="1:13">
      <c r="A36" s="15" t="s">
        <v>89</v>
      </c>
      <c r="B36" s="16" t="s">
        <v>90</v>
      </c>
      <c r="C36" s="17" t="s">
        <v>32</v>
      </c>
      <c r="D36" s="16" t="s">
        <v>29</v>
      </c>
      <c r="E36" s="16" t="s">
        <v>91</v>
      </c>
      <c r="F36" s="16" t="s">
        <v>34</v>
      </c>
      <c r="G36" s="18">
        <v>2090</v>
      </c>
      <c r="H36" s="19" t="str">
        <f>ROUND((2090/100*(100-M16)),0)</f>
        <v>0</v>
      </c>
      <c r="I36" s="14">
        <v>7</v>
      </c>
      <c r="J36" s="16" t="s">
        <v>62</v>
      </c>
      <c r="K36" s="16" t="s">
        <v>36</v>
      </c>
      <c r="L36" s="16"/>
      <c r="M36" s="16" t="str">
        <f>IF(L36="","",H36*L36)</f>
        <v>0</v>
      </c>
    </row>
    <row r="37" spans="1:13">
      <c r="A37" s="15" t="s">
        <v>92</v>
      </c>
      <c r="B37" s="20" t="s">
        <v>93</v>
      </c>
      <c r="C37" s="17"/>
      <c r="D37" s="20" t="s">
        <v>87</v>
      </c>
      <c r="E37" s="20" t="s">
        <v>94</v>
      </c>
      <c r="F37" s="20" t="s">
        <v>34</v>
      </c>
      <c r="G37" s="18">
        <v>2168</v>
      </c>
      <c r="H37" s="19" t="str">
        <f>ROUND((2168/100*(100-M16)),0)</f>
        <v>0</v>
      </c>
      <c r="I37" s="14">
        <v>4</v>
      </c>
      <c r="J37" s="16" t="s">
        <v>47</v>
      </c>
      <c r="K37" s="16" t="s">
        <v>36</v>
      </c>
      <c r="L37" s="16"/>
      <c r="M37" s="16" t="str">
        <f>IF(L37="","",H37*L37)</f>
        <v>0</v>
      </c>
    </row>
    <row r="38" spans="1:13">
      <c r="A38" s="15" t="s">
        <v>95</v>
      </c>
      <c r="B38" s="16" t="s">
        <v>96</v>
      </c>
      <c r="C38" s="17" t="s">
        <v>32</v>
      </c>
      <c r="D38" s="16" t="s">
        <v>29</v>
      </c>
      <c r="E38" s="16" t="s">
        <v>97</v>
      </c>
      <c r="F38" s="16" t="s">
        <v>34</v>
      </c>
      <c r="G38" s="18">
        <v>1917</v>
      </c>
      <c r="H38" s="19" t="str">
        <f>ROUND((1917/100*(100-M16)),0)</f>
        <v>0</v>
      </c>
      <c r="I38" s="14">
        <v>1</v>
      </c>
      <c r="J38" s="16" t="s">
        <v>51</v>
      </c>
      <c r="K38" s="16" t="s">
        <v>36</v>
      </c>
      <c r="L38" s="16"/>
      <c r="M38" s="16" t="str">
        <f>IF(L38="","",H38*L38)</f>
        <v>0</v>
      </c>
    </row>
    <row r="39" spans="1:13">
      <c r="A39" s="15" t="s">
        <v>98</v>
      </c>
      <c r="B39" s="16" t="s">
        <v>99</v>
      </c>
      <c r="C39" s="17" t="s">
        <v>32</v>
      </c>
      <c r="D39" s="16" t="s">
        <v>29</v>
      </c>
      <c r="E39" s="16" t="s">
        <v>100</v>
      </c>
      <c r="F39" s="16" t="s">
        <v>34</v>
      </c>
      <c r="G39" s="18">
        <v>2760</v>
      </c>
      <c r="H39" s="19" t="str">
        <f>ROUND((2760/100*(100-M16)),0)</f>
        <v>0</v>
      </c>
      <c r="I39" s="14">
        <v>8</v>
      </c>
      <c r="J39" s="16" t="s">
        <v>62</v>
      </c>
      <c r="K39" s="16" t="s">
        <v>36</v>
      </c>
      <c r="L39" s="16"/>
      <c r="M39" s="16" t="str">
        <f>IF(L39="","",H39*L39)</f>
        <v>0</v>
      </c>
    </row>
    <row r="40" spans="1:13">
      <c r="A40" s="15" t="s">
        <v>101</v>
      </c>
      <c r="B40" s="16" t="s">
        <v>102</v>
      </c>
      <c r="C40" s="17" t="s">
        <v>32</v>
      </c>
      <c r="D40" s="16" t="s">
        <v>29</v>
      </c>
      <c r="E40" s="16" t="s">
        <v>103</v>
      </c>
      <c r="F40" s="16" t="s">
        <v>34</v>
      </c>
      <c r="G40" s="18">
        <v>2692</v>
      </c>
      <c r="H40" s="19" t="str">
        <f>ROUND((2692/100*(100-M16)),0)</f>
        <v>0</v>
      </c>
      <c r="I40" s="14">
        <v>5</v>
      </c>
      <c r="J40" s="16" t="s">
        <v>47</v>
      </c>
      <c r="K40" s="16" t="s">
        <v>36</v>
      </c>
      <c r="L40" s="16"/>
      <c r="M40" s="16" t="str">
        <f>IF(L40="","",H40*L40)</f>
        <v>0</v>
      </c>
    </row>
    <row r="41" spans="1:13">
      <c r="A41" s="15" t="s">
        <v>104</v>
      </c>
      <c r="B41" s="16" t="s">
        <v>105</v>
      </c>
      <c r="C41" s="17" t="s">
        <v>32</v>
      </c>
      <c r="D41" s="16" t="s">
        <v>29</v>
      </c>
      <c r="E41" s="16" t="s">
        <v>106</v>
      </c>
      <c r="F41" s="16" t="s">
        <v>34</v>
      </c>
      <c r="G41" s="18">
        <v>2070</v>
      </c>
      <c r="H41" s="19" t="str">
        <f>ROUND((2070/100*(100-M16)),0)</f>
        <v>0</v>
      </c>
      <c r="I41" s="14">
        <v>1</v>
      </c>
      <c r="J41" s="16" t="s">
        <v>62</v>
      </c>
      <c r="K41" s="16" t="s">
        <v>36</v>
      </c>
      <c r="L41" s="16"/>
      <c r="M41" s="16" t="str">
        <f>IF(L41="","",H41*L41)</f>
        <v>0</v>
      </c>
    </row>
    <row r="42" spans="1:13">
      <c r="A42" s="15" t="s">
        <v>107</v>
      </c>
      <c r="B42" s="16" t="s">
        <v>108</v>
      </c>
      <c r="C42" s="17" t="s">
        <v>32</v>
      </c>
      <c r="D42" s="16" t="s">
        <v>29</v>
      </c>
      <c r="E42" s="16" t="s">
        <v>109</v>
      </c>
      <c r="F42" s="16" t="s">
        <v>34</v>
      </c>
      <c r="G42" s="18">
        <v>2675</v>
      </c>
      <c r="H42" s="19" t="str">
        <f>ROUND((2675/100*(100-M16)),0)</f>
        <v>0</v>
      </c>
      <c r="I42" s="14">
        <v>6</v>
      </c>
      <c r="J42" s="16" t="s">
        <v>62</v>
      </c>
      <c r="K42" s="16" t="s">
        <v>36</v>
      </c>
      <c r="L42" s="16"/>
      <c r="M42" s="16" t="str">
        <f>IF(L42="","",H42*L42)</f>
        <v>0</v>
      </c>
    </row>
    <row r="43" spans="1:13">
      <c r="A43" s="15" t="s">
        <v>110</v>
      </c>
      <c r="B43" s="16" t="s">
        <v>111</v>
      </c>
      <c r="C43" s="17" t="s">
        <v>32</v>
      </c>
      <c r="D43" s="16" t="s">
        <v>29</v>
      </c>
      <c r="E43" s="16" t="s">
        <v>112</v>
      </c>
      <c r="F43" s="16" t="s">
        <v>34</v>
      </c>
      <c r="G43" s="18">
        <v>4320</v>
      </c>
      <c r="H43" s="19" t="str">
        <f>ROUND((4320/100*(100-M16)),0)</f>
        <v>0</v>
      </c>
      <c r="I43" s="14">
        <v>7</v>
      </c>
      <c r="J43" s="16" t="s">
        <v>47</v>
      </c>
      <c r="K43" s="16" t="s">
        <v>36</v>
      </c>
      <c r="L43" s="16"/>
      <c r="M43" s="16" t="str">
        <f>IF(L43="","",H43*L43)</f>
        <v>0</v>
      </c>
    </row>
    <row r="44" spans="1:13">
      <c r="A44" s="15" t="s">
        <v>113</v>
      </c>
      <c r="B44" s="16" t="s">
        <v>114</v>
      </c>
      <c r="C44" s="17" t="s">
        <v>32</v>
      </c>
      <c r="D44" s="16" t="s">
        <v>29</v>
      </c>
      <c r="E44" s="16" t="s">
        <v>115</v>
      </c>
      <c r="F44" s="16" t="s">
        <v>34</v>
      </c>
      <c r="G44" s="18">
        <v>3530</v>
      </c>
      <c r="H44" s="19" t="str">
        <f>ROUND((3530/100*(100-M16)),0)</f>
        <v>0</v>
      </c>
      <c r="I44" s="14">
        <v>1</v>
      </c>
      <c r="J44" s="16" t="s">
        <v>47</v>
      </c>
      <c r="K44" s="16" t="s">
        <v>36</v>
      </c>
      <c r="L44" s="16"/>
      <c r="M44" s="16" t="str">
        <f>IF(L44="","",H44*L44)</f>
        <v>0</v>
      </c>
    </row>
    <row r="45" spans="1:13">
      <c r="A45" s="15" t="s">
        <v>116</v>
      </c>
      <c r="B45" s="16" t="s">
        <v>117</v>
      </c>
      <c r="C45" s="17" t="s">
        <v>32</v>
      </c>
      <c r="D45" s="16" t="s">
        <v>29</v>
      </c>
      <c r="E45" s="16" t="s">
        <v>118</v>
      </c>
      <c r="F45" s="16" t="s">
        <v>34</v>
      </c>
      <c r="G45" s="18">
        <v>8020</v>
      </c>
      <c r="H45" s="19" t="str">
        <f>ROUND((8020/100*(100-M16)),0)</f>
        <v>0</v>
      </c>
      <c r="I45" s="14">
        <v>3</v>
      </c>
      <c r="J45" s="16" t="s">
        <v>119</v>
      </c>
      <c r="K45" s="16" t="s">
        <v>36</v>
      </c>
      <c r="L45" s="16"/>
      <c r="M45" s="16" t="str">
        <f>IF(L45="","",H45*L45)</f>
        <v>0</v>
      </c>
    </row>
    <row r="46" spans="1:13">
      <c r="A46" s="15" t="s">
        <v>120</v>
      </c>
      <c r="B46" s="20" t="s">
        <v>121</v>
      </c>
      <c r="C46" s="17"/>
      <c r="D46" s="20" t="s">
        <v>87</v>
      </c>
      <c r="E46" s="20" t="s">
        <v>122</v>
      </c>
      <c r="F46" s="20" t="s">
        <v>34</v>
      </c>
      <c r="G46" s="18">
        <v>6900</v>
      </c>
      <c r="H46" s="19" t="str">
        <f>ROUND((6900/100*(100-M16)),0)</f>
        <v>0</v>
      </c>
      <c r="I46" s="14">
        <v>3</v>
      </c>
      <c r="J46" s="16" t="s">
        <v>119</v>
      </c>
      <c r="K46" s="16" t="s">
        <v>36</v>
      </c>
      <c r="L46" s="16"/>
      <c r="M46" s="16" t="str">
        <f>IF(L46="","",H46*L46)</f>
        <v>0</v>
      </c>
    </row>
    <row r="47" spans="1:13">
      <c r="A47" s="15" t="s">
        <v>123</v>
      </c>
      <c r="B47" s="20" t="s">
        <v>124</v>
      </c>
      <c r="C47" s="17"/>
      <c r="D47" s="20" t="s">
        <v>87</v>
      </c>
      <c r="E47" s="20" t="s">
        <v>125</v>
      </c>
      <c r="F47" s="20" t="s">
        <v>34</v>
      </c>
      <c r="G47" s="18">
        <v>9300</v>
      </c>
      <c r="H47" s="19" t="str">
        <f>ROUND((9300/100*(100-M16)),0)</f>
        <v>0</v>
      </c>
      <c r="I47" s="14">
        <v>3</v>
      </c>
      <c r="J47" s="16" t="s">
        <v>119</v>
      </c>
      <c r="K47" s="16" t="s">
        <v>36</v>
      </c>
      <c r="L47" s="16"/>
      <c r="M47" s="16" t="str">
        <f>IF(L47="","",H47*L47)</f>
        <v>0</v>
      </c>
    </row>
    <row r="48" spans="1:13">
      <c r="A48" s="15" t="s">
        <v>126</v>
      </c>
      <c r="B48" s="20" t="s">
        <v>127</v>
      </c>
      <c r="C48" s="17"/>
      <c r="D48" s="20" t="s">
        <v>87</v>
      </c>
      <c r="E48" s="20" t="s">
        <v>128</v>
      </c>
      <c r="F48" s="20" t="s">
        <v>34</v>
      </c>
      <c r="G48" s="18">
        <v>7700</v>
      </c>
      <c r="H48" s="19" t="str">
        <f>ROUND((7700/100*(100-M16)),0)</f>
        <v>0</v>
      </c>
      <c r="I48" s="14">
        <v>2</v>
      </c>
      <c r="J48" s="16" t="s">
        <v>129</v>
      </c>
      <c r="K48" s="16" t="s">
        <v>36</v>
      </c>
      <c r="L48" s="16"/>
      <c r="M48" s="16" t="str">
        <f>IF(L48="","",H48*L48)</f>
        <v>0</v>
      </c>
    </row>
    <row r="49" spans="1:13">
      <c r="A49" s="15" t="s">
        <v>130</v>
      </c>
      <c r="B49" s="16" t="s">
        <v>131</v>
      </c>
      <c r="C49" s="17"/>
      <c r="D49" s="16" t="s">
        <v>29</v>
      </c>
      <c r="E49" s="16" t="s">
        <v>132</v>
      </c>
      <c r="F49" s="16" t="s">
        <v>34</v>
      </c>
      <c r="G49" s="18">
        <v>8990</v>
      </c>
      <c r="H49" s="19" t="str">
        <f>ROUND((8990/100*(100-M16)),0)</f>
        <v>0</v>
      </c>
      <c r="I49" s="14">
        <v>4</v>
      </c>
      <c r="J49" s="16" t="s">
        <v>129</v>
      </c>
      <c r="K49" s="16" t="s">
        <v>36</v>
      </c>
      <c r="L49" s="16"/>
      <c r="M49" s="16" t="str">
        <f>IF(L49="","",H49*L49)</f>
        <v>0</v>
      </c>
    </row>
    <row r="50" spans="1:13">
      <c r="A50" s="15" t="s">
        <v>133</v>
      </c>
      <c r="B50" s="20" t="s">
        <v>134</v>
      </c>
      <c r="C50" s="17"/>
      <c r="D50" s="20" t="s">
        <v>87</v>
      </c>
      <c r="E50" s="20" t="s">
        <v>135</v>
      </c>
      <c r="F50" s="20" t="s">
        <v>34</v>
      </c>
      <c r="G50" s="18">
        <v>7650</v>
      </c>
      <c r="H50" s="19" t="str">
        <f>ROUND((7650/100*(100-M16)),0)</f>
        <v>0</v>
      </c>
      <c r="I50" s="14">
        <v>2</v>
      </c>
      <c r="J50" s="16" t="s">
        <v>119</v>
      </c>
      <c r="K50" s="16" t="s">
        <v>36</v>
      </c>
      <c r="L50" s="16"/>
      <c r="M50" s="16" t="str">
        <f>IF(L50="","",H50*L50)</f>
        <v>0</v>
      </c>
    </row>
    <row r="51" spans="1:13">
      <c r="A51" s="15" t="s">
        <v>136</v>
      </c>
      <c r="B51" s="16" t="s">
        <v>137</v>
      </c>
      <c r="C51" s="17" t="s">
        <v>32</v>
      </c>
      <c r="D51" s="16" t="s">
        <v>29</v>
      </c>
      <c r="E51" s="16" t="s">
        <v>138</v>
      </c>
      <c r="F51" s="16" t="s">
        <v>34</v>
      </c>
      <c r="G51" s="18">
        <v>14500</v>
      </c>
      <c r="H51" s="19" t="str">
        <f>ROUND((14500/100*(100-M16)),0)</f>
        <v>0</v>
      </c>
      <c r="I51" s="14">
        <v>2</v>
      </c>
      <c r="J51" s="16" t="s">
        <v>139</v>
      </c>
      <c r="K51" s="16" t="s">
        <v>36</v>
      </c>
      <c r="L51" s="16"/>
      <c r="M51" s="16" t="str">
        <f>IF(L51="","",H51*L51)</f>
        <v>0</v>
      </c>
    </row>
    <row r="52" spans="1:13">
      <c r="A52" s="15" t="s">
        <v>140</v>
      </c>
      <c r="B52" s="16" t="s">
        <v>141</v>
      </c>
      <c r="C52" s="17" t="s">
        <v>32</v>
      </c>
      <c r="D52" s="16" t="s">
        <v>29</v>
      </c>
      <c r="E52" s="16" t="s">
        <v>142</v>
      </c>
      <c r="F52" s="16" t="s">
        <v>34</v>
      </c>
      <c r="G52" s="18">
        <v>2016</v>
      </c>
      <c r="H52" s="19" t="str">
        <f>ROUND((2016/100*(100-M16)),0)</f>
        <v>0</v>
      </c>
      <c r="I52" s="14">
        <v>3</v>
      </c>
      <c r="J52" s="16" t="s">
        <v>62</v>
      </c>
      <c r="K52" s="16" t="s">
        <v>36</v>
      </c>
      <c r="L52" s="16"/>
      <c r="M52" s="16" t="str">
        <f>IF(L52="","",H52*L52)</f>
        <v>0</v>
      </c>
    </row>
    <row r="53" spans="1:13">
      <c r="A53" s="15" t="s">
        <v>143</v>
      </c>
      <c r="B53" s="16" t="s">
        <v>144</v>
      </c>
      <c r="C53" s="17" t="s">
        <v>32</v>
      </c>
      <c r="D53" s="16" t="s">
        <v>29</v>
      </c>
      <c r="E53" s="16" t="s">
        <v>145</v>
      </c>
      <c r="F53" s="16" t="s">
        <v>34</v>
      </c>
      <c r="G53" s="18">
        <v>3700</v>
      </c>
      <c r="H53" s="19" t="str">
        <f>ROUND((3700/100*(100-M16)),0)</f>
        <v>0</v>
      </c>
      <c r="I53" s="14">
        <v>25</v>
      </c>
      <c r="J53" s="16" t="s">
        <v>62</v>
      </c>
      <c r="K53" s="16" t="s">
        <v>36</v>
      </c>
      <c r="L53" s="16"/>
      <c r="M53" s="16" t="str">
        <f>IF(L53="","",H53*L53)</f>
        <v>0</v>
      </c>
    </row>
    <row r="54" spans="1:13">
      <c r="A54" s="15" t="s">
        <v>146</v>
      </c>
      <c r="B54" s="16" t="s">
        <v>147</v>
      </c>
      <c r="C54" s="17" t="s">
        <v>32</v>
      </c>
      <c r="D54" s="16" t="s">
        <v>29</v>
      </c>
      <c r="E54" s="16" t="s">
        <v>148</v>
      </c>
      <c r="F54" s="16" t="s">
        <v>34</v>
      </c>
      <c r="G54" s="18">
        <v>3142</v>
      </c>
      <c r="H54" s="19" t="str">
        <f>ROUND((3142/100*(100-M16)),0)</f>
        <v>0</v>
      </c>
      <c r="I54" s="14">
        <v>7</v>
      </c>
      <c r="J54" s="16" t="s">
        <v>62</v>
      </c>
      <c r="K54" s="16" t="s">
        <v>36</v>
      </c>
      <c r="L54" s="16"/>
      <c r="M54" s="16" t="str">
        <f>IF(L54="","",H54*L54)</f>
        <v>0</v>
      </c>
    </row>
    <row r="55" spans="1:13">
      <c r="A55" s="15" t="s">
        <v>149</v>
      </c>
      <c r="B55" s="16" t="s">
        <v>150</v>
      </c>
      <c r="C55" s="17" t="s">
        <v>32</v>
      </c>
      <c r="D55" s="16" t="s">
        <v>29</v>
      </c>
      <c r="E55" s="16" t="s">
        <v>151</v>
      </c>
      <c r="F55" s="16" t="s">
        <v>34</v>
      </c>
      <c r="G55" s="18">
        <v>4025</v>
      </c>
      <c r="H55" s="19" t="str">
        <f>ROUND((4025/100*(100-M16)),0)</f>
        <v>0</v>
      </c>
      <c r="I55" s="14">
        <v>15</v>
      </c>
      <c r="J55" s="16" t="s">
        <v>47</v>
      </c>
      <c r="K55" s="16" t="s">
        <v>36</v>
      </c>
      <c r="L55" s="16"/>
      <c r="M55" s="16" t="str">
        <f>IF(L55="","",H55*L55)</f>
        <v>0</v>
      </c>
    </row>
    <row r="56" spans="1:13">
      <c r="A56" s="15" t="s">
        <v>152</v>
      </c>
      <c r="B56" s="16" t="s">
        <v>153</v>
      </c>
      <c r="C56" s="17" t="s">
        <v>32</v>
      </c>
      <c r="D56" s="16" t="s">
        <v>29</v>
      </c>
      <c r="E56" s="16" t="s">
        <v>154</v>
      </c>
      <c r="F56" s="16" t="s">
        <v>34</v>
      </c>
      <c r="G56" s="18">
        <v>4100</v>
      </c>
      <c r="H56" s="19" t="str">
        <f>ROUND((4100/100*(100-M16)),0)</f>
        <v>0</v>
      </c>
      <c r="I56" s="14">
        <v>3</v>
      </c>
      <c r="J56" s="16" t="s">
        <v>47</v>
      </c>
      <c r="K56" s="16" t="s">
        <v>36</v>
      </c>
      <c r="L56" s="16"/>
      <c r="M56" s="16" t="str">
        <f>IF(L56="","",H56*L56)</f>
        <v>0</v>
      </c>
    </row>
    <row r="57" spans="1:13">
      <c r="A57" s="15" t="s">
        <v>155</v>
      </c>
      <c r="B57" s="16" t="s">
        <v>156</v>
      </c>
      <c r="C57" s="17" t="s">
        <v>32</v>
      </c>
      <c r="D57" s="16" t="s">
        <v>29</v>
      </c>
      <c r="E57" s="16" t="s">
        <v>157</v>
      </c>
      <c r="F57" s="16" t="s">
        <v>34</v>
      </c>
      <c r="G57" s="18">
        <v>4025</v>
      </c>
      <c r="H57" s="19" t="str">
        <f>ROUND((4025/100*(100-M16)),0)</f>
        <v>0</v>
      </c>
      <c r="I57" s="14">
        <v>6</v>
      </c>
      <c r="J57" s="16" t="s">
        <v>47</v>
      </c>
      <c r="K57" s="16" t="s">
        <v>36</v>
      </c>
      <c r="L57" s="16"/>
      <c r="M57" s="16" t="str">
        <f>IF(L57="","",H57*L57)</f>
        <v>0</v>
      </c>
    </row>
    <row r="58" spans="1:13">
      <c r="A58" s="15" t="s">
        <v>158</v>
      </c>
      <c r="B58" s="16" t="s">
        <v>159</v>
      </c>
      <c r="C58" s="17" t="s">
        <v>32</v>
      </c>
      <c r="D58" s="16" t="s">
        <v>29</v>
      </c>
      <c r="E58" s="16" t="s">
        <v>160</v>
      </c>
      <c r="F58" s="16" t="s">
        <v>34</v>
      </c>
      <c r="G58" s="18">
        <v>3155</v>
      </c>
      <c r="H58" s="19" t="str">
        <f>ROUND((3155/100*(100-M16)),0)</f>
        <v>0</v>
      </c>
      <c r="I58" s="14">
        <v>2</v>
      </c>
      <c r="J58" s="16" t="s">
        <v>69</v>
      </c>
      <c r="K58" s="16" t="s">
        <v>36</v>
      </c>
      <c r="L58" s="16"/>
      <c r="M58" s="16" t="str">
        <f>IF(L58="","",H58*L58)</f>
        <v>0</v>
      </c>
    </row>
    <row r="59" spans="1:13">
      <c r="A59" s="15" t="s">
        <v>161</v>
      </c>
      <c r="B59" s="20" t="s">
        <v>162</v>
      </c>
      <c r="C59" s="17"/>
      <c r="D59" s="20" t="s">
        <v>87</v>
      </c>
      <c r="E59" s="20" t="s">
        <v>163</v>
      </c>
      <c r="F59" s="20" t="s">
        <v>34</v>
      </c>
      <c r="G59" s="18">
        <v>4715</v>
      </c>
      <c r="H59" s="19" t="str">
        <f>ROUND((4715/100*(100-M16)),0)</f>
        <v>0</v>
      </c>
      <c r="I59" s="14">
        <v>1</v>
      </c>
      <c r="J59" s="16" t="s">
        <v>47</v>
      </c>
      <c r="K59" s="16" t="s">
        <v>36</v>
      </c>
      <c r="L59" s="16"/>
      <c r="M59" s="16" t="str">
        <f>IF(L59="","",H59*L59)</f>
        <v>0</v>
      </c>
    </row>
    <row r="60" spans="1:13">
      <c r="A60" s="15" t="s">
        <v>164</v>
      </c>
      <c r="B60" s="16" t="s">
        <v>165</v>
      </c>
      <c r="C60" s="17" t="s">
        <v>32</v>
      </c>
      <c r="D60" s="16" t="s">
        <v>29</v>
      </c>
      <c r="E60" s="16" t="s">
        <v>166</v>
      </c>
      <c r="F60" s="16" t="s">
        <v>34</v>
      </c>
      <c r="G60" s="18">
        <v>9999</v>
      </c>
      <c r="H60" s="19" t="str">
        <f>ROUND((9999/100*(100-M16)),0)</f>
        <v>0</v>
      </c>
      <c r="I60" s="14">
        <v>5</v>
      </c>
      <c r="J60" s="16" t="s">
        <v>119</v>
      </c>
      <c r="K60" s="16" t="s">
        <v>36</v>
      </c>
      <c r="L60" s="16"/>
      <c r="M60" s="16" t="str">
        <f>IF(L60="","",H60*L60)</f>
        <v>0</v>
      </c>
    </row>
    <row r="61" spans="1:13">
      <c r="A61" s="15" t="s">
        <v>167</v>
      </c>
      <c r="B61" s="16" t="s">
        <v>168</v>
      </c>
      <c r="C61" s="17" t="s">
        <v>32</v>
      </c>
      <c r="D61" s="16" t="s">
        <v>29</v>
      </c>
      <c r="E61" s="16" t="s">
        <v>169</v>
      </c>
      <c r="F61" s="16" t="s">
        <v>34</v>
      </c>
      <c r="G61" s="18">
        <v>12899</v>
      </c>
      <c r="H61" s="19" t="str">
        <f>ROUND((12899/100*(100-M16)),0)</f>
        <v>0</v>
      </c>
      <c r="I61" s="14">
        <v>4</v>
      </c>
      <c r="J61" s="16" t="s">
        <v>129</v>
      </c>
      <c r="K61" s="16" t="s">
        <v>36</v>
      </c>
      <c r="L61" s="16"/>
      <c r="M61" s="16" t="str">
        <f>IF(L61="","",H61*L61)</f>
        <v>0</v>
      </c>
    </row>
    <row r="62" spans="1:13">
      <c r="A62" s="15" t="s">
        <v>170</v>
      </c>
      <c r="B62" s="16" t="s">
        <v>171</v>
      </c>
      <c r="C62" s="17" t="s">
        <v>32</v>
      </c>
      <c r="D62" s="16" t="s">
        <v>29</v>
      </c>
      <c r="E62" s="16" t="s">
        <v>172</v>
      </c>
      <c r="F62" s="16" t="s">
        <v>34</v>
      </c>
      <c r="G62" s="18">
        <v>3025</v>
      </c>
      <c r="H62" s="19" t="str">
        <f>ROUND((3025/100*(100-M16)),0)</f>
        <v>0</v>
      </c>
      <c r="I62" s="14">
        <v>1</v>
      </c>
      <c r="J62" s="16" t="s">
        <v>47</v>
      </c>
      <c r="K62" s="16" t="s">
        <v>36</v>
      </c>
      <c r="L62" s="16"/>
      <c r="M62" s="16" t="str">
        <f>IF(L62="","",H62*L62)</f>
        <v>0</v>
      </c>
    </row>
    <row r="63" spans="1:13">
      <c r="A63" s="15" t="s">
        <v>173</v>
      </c>
      <c r="B63" s="16" t="s">
        <v>174</v>
      </c>
      <c r="C63" s="17" t="s">
        <v>32</v>
      </c>
      <c r="D63" s="16" t="s">
        <v>29</v>
      </c>
      <c r="E63" s="16" t="s">
        <v>175</v>
      </c>
      <c r="F63" s="16" t="s">
        <v>34</v>
      </c>
      <c r="G63" s="18">
        <v>3280</v>
      </c>
      <c r="H63" s="19" t="str">
        <f>ROUND((3280/100*(100-M16)),0)</f>
        <v>0</v>
      </c>
      <c r="I63" s="14">
        <v>1</v>
      </c>
      <c r="J63" s="16" t="s">
        <v>47</v>
      </c>
      <c r="K63" s="16" t="s">
        <v>36</v>
      </c>
      <c r="L63" s="16"/>
      <c r="M63" s="16" t="str">
        <f>IF(L63="","",H63*L63)</f>
        <v>0</v>
      </c>
    </row>
    <row r="64" spans="1:13">
      <c r="A64" s="15" t="s">
        <v>176</v>
      </c>
      <c r="B64" s="16" t="s">
        <v>177</v>
      </c>
      <c r="C64" s="17" t="s">
        <v>32</v>
      </c>
      <c r="D64" s="16" t="s">
        <v>29</v>
      </c>
      <c r="E64" s="16" t="s">
        <v>178</v>
      </c>
      <c r="F64" s="16" t="s">
        <v>34</v>
      </c>
      <c r="G64" s="18">
        <v>3365</v>
      </c>
      <c r="H64" s="19" t="str">
        <f>ROUND((3365/100*(100-M16)),0)</f>
        <v>0</v>
      </c>
      <c r="I64" s="14">
        <v>12</v>
      </c>
      <c r="J64" s="16" t="s">
        <v>119</v>
      </c>
      <c r="K64" s="16" t="s">
        <v>36</v>
      </c>
      <c r="L64" s="16"/>
      <c r="M64" s="16" t="str">
        <f>IF(L64="","",H64*L64)</f>
        <v>0</v>
      </c>
    </row>
    <row r="65" spans="1:13">
      <c r="A65" s="15" t="s">
        <v>179</v>
      </c>
      <c r="B65" s="16" t="s">
        <v>180</v>
      </c>
      <c r="C65" s="17" t="s">
        <v>32</v>
      </c>
      <c r="D65" s="16" t="s">
        <v>29</v>
      </c>
      <c r="E65" s="16" t="s">
        <v>181</v>
      </c>
      <c r="F65" s="16" t="s">
        <v>34</v>
      </c>
      <c r="G65" s="18">
        <v>4810</v>
      </c>
      <c r="H65" s="19" t="str">
        <f>ROUND((4810/100*(100-M16)),0)</f>
        <v>0</v>
      </c>
      <c r="I65" s="14">
        <v>2</v>
      </c>
      <c r="J65" s="16" t="s">
        <v>69</v>
      </c>
      <c r="K65" s="16" t="s">
        <v>36</v>
      </c>
      <c r="L65" s="16"/>
      <c r="M65" s="16" t="str">
        <f>IF(L65="","",H65*L65)</f>
        <v>0</v>
      </c>
    </row>
    <row r="66" spans="1:13">
      <c r="A66" s="15" t="s">
        <v>182</v>
      </c>
      <c r="B66" s="20" t="s">
        <v>183</v>
      </c>
      <c r="C66" s="17" t="s">
        <v>32</v>
      </c>
      <c r="D66" s="20" t="s">
        <v>87</v>
      </c>
      <c r="E66" s="20" t="s">
        <v>184</v>
      </c>
      <c r="F66" s="20" t="s">
        <v>34</v>
      </c>
      <c r="G66" s="18">
        <v>12100</v>
      </c>
      <c r="H66" s="19" t="str">
        <f>ROUND((12100/100*(100-M16)),0)</f>
        <v>0</v>
      </c>
      <c r="I66" s="14">
        <v>1</v>
      </c>
      <c r="J66" s="16" t="s">
        <v>129</v>
      </c>
      <c r="K66" s="16" t="s">
        <v>36</v>
      </c>
      <c r="L66" s="16"/>
      <c r="M66" s="16" t="str">
        <f>IF(L66="","",H66*L66)</f>
        <v>0</v>
      </c>
    </row>
    <row r="67" spans="1:13">
      <c r="A67" s="15" t="s">
        <v>185</v>
      </c>
      <c r="B67" s="16" t="s">
        <v>186</v>
      </c>
      <c r="C67" s="17" t="s">
        <v>32</v>
      </c>
      <c r="D67" s="16" t="s">
        <v>29</v>
      </c>
      <c r="E67" s="16" t="s">
        <v>187</v>
      </c>
      <c r="F67" s="16" t="s">
        <v>34</v>
      </c>
      <c r="G67" s="18">
        <v>10090</v>
      </c>
      <c r="H67" s="19" t="str">
        <f>ROUND((10090/100*(100-M16)),0)</f>
        <v>0</v>
      </c>
      <c r="I67" s="14">
        <v>11</v>
      </c>
      <c r="J67" s="16" t="s">
        <v>119</v>
      </c>
      <c r="K67" s="16" t="s">
        <v>36</v>
      </c>
      <c r="L67" s="16"/>
      <c r="M67" s="16" t="str">
        <f>IF(L67="","",H67*L67)</f>
        <v>0</v>
      </c>
    </row>
    <row r="68" spans="1:13">
      <c r="A68" s="15" t="s">
        <v>188</v>
      </c>
      <c r="B68" s="16" t="s">
        <v>189</v>
      </c>
      <c r="C68" s="17" t="s">
        <v>32</v>
      </c>
      <c r="D68" s="16" t="s">
        <v>29</v>
      </c>
      <c r="E68" s="16" t="s">
        <v>190</v>
      </c>
      <c r="F68" s="16" t="s">
        <v>34</v>
      </c>
      <c r="G68" s="18">
        <v>20700</v>
      </c>
      <c r="H68" s="19" t="str">
        <f>ROUND((20700/100*(100-M16)),0)</f>
        <v>0</v>
      </c>
      <c r="I68" s="14">
        <v>4</v>
      </c>
      <c r="J68" s="16" t="s">
        <v>129</v>
      </c>
      <c r="K68" s="16" t="s">
        <v>36</v>
      </c>
      <c r="L68" s="16"/>
      <c r="M68" s="16" t="str">
        <f>IF(L68="","",H68*L68)</f>
        <v>0</v>
      </c>
    </row>
    <row r="69" spans="1:13">
      <c r="A69" s="15" t="s">
        <v>191</v>
      </c>
      <c r="B69" s="16" t="s">
        <v>192</v>
      </c>
      <c r="C69" s="17" t="s">
        <v>32</v>
      </c>
      <c r="D69" s="16" t="s">
        <v>29</v>
      </c>
      <c r="E69" s="16" t="s">
        <v>193</v>
      </c>
      <c r="F69" s="16" t="s">
        <v>34</v>
      </c>
      <c r="G69" s="18">
        <v>38900</v>
      </c>
      <c r="H69" s="19" t="str">
        <f>ROUND((38900/100*(100-M16)),0)</f>
        <v>0</v>
      </c>
      <c r="I69" s="14">
        <v>1</v>
      </c>
      <c r="J69" s="16" t="s">
        <v>139</v>
      </c>
      <c r="K69" s="16" t="s">
        <v>36</v>
      </c>
      <c r="L69" s="16"/>
      <c r="M69" s="16" t="str">
        <f>IF(L69="","",H69*L69)</f>
        <v>0</v>
      </c>
    </row>
    <row r="70" spans="1:13">
      <c r="A70" s="15" t="s">
        <v>194</v>
      </c>
      <c r="B70" s="16" t="s">
        <v>195</v>
      </c>
      <c r="C70" s="17" t="s">
        <v>32</v>
      </c>
      <c r="D70" s="16" t="s">
        <v>29</v>
      </c>
      <c r="E70" s="16" t="s">
        <v>196</v>
      </c>
      <c r="F70" s="16" t="s">
        <v>34</v>
      </c>
      <c r="G70" s="18">
        <v>45800</v>
      </c>
      <c r="H70" s="19" t="str">
        <f>ROUND((45800/100*(100-M16)),0)</f>
        <v>0</v>
      </c>
      <c r="I70" s="14">
        <v>1</v>
      </c>
      <c r="J70" s="16" t="s">
        <v>139</v>
      </c>
      <c r="K70" s="16" t="s">
        <v>36</v>
      </c>
      <c r="L70" s="16"/>
      <c r="M70" s="16" t="str">
        <f>IF(L70="","",H70*L70)</f>
        <v>0</v>
      </c>
    </row>
    <row r="71" spans="1:13">
      <c r="A71" s="15" t="s">
        <v>197</v>
      </c>
      <c r="B71" s="20" t="s">
        <v>198</v>
      </c>
      <c r="C71" s="17"/>
      <c r="D71" s="20" t="s">
        <v>87</v>
      </c>
      <c r="E71" s="20" t="s">
        <v>199</v>
      </c>
      <c r="F71" s="20" t="s">
        <v>34</v>
      </c>
      <c r="G71" s="18">
        <v>25700</v>
      </c>
      <c r="H71" s="19" t="str">
        <f>ROUND((25700/100*(100-M16)),0)</f>
        <v>0</v>
      </c>
      <c r="I71" s="14">
        <v>1</v>
      </c>
      <c r="J71" s="16" t="s">
        <v>139</v>
      </c>
      <c r="K71" s="16" t="s">
        <v>36</v>
      </c>
      <c r="L71" s="16"/>
      <c r="M71" s="16" t="str">
        <f>IF(L71="","",H71*L71)</f>
        <v>0</v>
      </c>
    </row>
    <row r="72" spans="1:13">
      <c r="A72" s="15" t="s">
        <v>200</v>
      </c>
      <c r="B72" s="20" t="s">
        <v>201</v>
      </c>
      <c r="C72" s="17"/>
      <c r="D72" s="20" t="s">
        <v>87</v>
      </c>
      <c r="E72" s="20" t="s">
        <v>202</v>
      </c>
      <c r="F72" s="20" t="s">
        <v>34</v>
      </c>
      <c r="G72" s="18">
        <v>15550</v>
      </c>
      <c r="H72" s="19" t="str">
        <f>ROUND((15550/100*(100-M16)),0)</f>
        <v>0</v>
      </c>
      <c r="I72" s="14">
        <v>1</v>
      </c>
      <c r="J72" s="16" t="s">
        <v>139</v>
      </c>
      <c r="K72" s="16" t="s">
        <v>36</v>
      </c>
      <c r="L72" s="16"/>
      <c r="M72" s="16" t="str">
        <f>IF(L72="","",H72*L72)</f>
        <v>0</v>
      </c>
    </row>
    <row r="73" spans="1:13">
      <c r="A73" s="15" t="s">
        <v>203</v>
      </c>
      <c r="B73" s="16" t="s">
        <v>204</v>
      </c>
      <c r="C73" s="17" t="s">
        <v>32</v>
      </c>
      <c r="D73" s="16" t="s">
        <v>29</v>
      </c>
      <c r="E73" s="16" t="s">
        <v>205</v>
      </c>
      <c r="F73" s="16" t="s">
        <v>34</v>
      </c>
      <c r="G73" s="18">
        <v>42500</v>
      </c>
      <c r="H73" s="19" t="str">
        <f>ROUND((42500/100*(100-M16)),0)</f>
        <v>0</v>
      </c>
      <c r="I73" s="14">
        <v>1</v>
      </c>
      <c r="J73" s="16" t="s">
        <v>139</v>
      </c>
      <c r="K73" s="16" t="s">
        <v>36</v>
      </c>
      <c r="L73" s="16"/>
      <c r="M73" s="16" t="str">
        <f>IF(L73="","",H73*L73)</f>
        <v>0</v>
      </c>
    </row>
    <row r="74" spans="1:13">
      <c r="A74" s="15" t="s">
        <v>206</v>
      </c>
      <c r="B74" s="16" t="s">
        <v>207</v>
      </c>
      <c r="C74" s="17" t="s">
        <v>32</v>
      </c>
      <c r="D74" s="16" t="s">
        <v>29</v>
      </c>
      <c r="E74" s="16" t="s">
        <v>208</v>
      </c>
      <c r="F74" s="16" t="s">
        <v>34</v>
      </c>
      <c r="G74" s="18">
        <v>41100</v>
      </c>
      <c r="H74" s="19" t="str">
        <f>ROUND((41100/100*(100-M16)),0)</f>
        <v>0</v>
      </c>
      <c r="I74" s="14">
        <v>1</v>
      </c>
      <c r="J74" s="16" t="s">
        <v>139</v>
      </c>
      <c r="K74" s="16" t="s">
        <v>36</v>
      </c>
      <c r="L74" s="16"/>
      <c r="M74" s="16" t="str">
        <f>IF(L74="","",H74*L74)</f>
        <v>0</v>
      </c>
    </row>
    <row r="75" spans="1:13">
      <c r="A75" s="15" t="s">
        <v>209</v>
      </c>
      <c r="B75" s="16" t="s">
        <v>210</v>
      </c>
      <c r="C75" s="17" t="s">
        <v>32</v>
      </c>
      <c r="D75" s="16" t="s">
        <v>29</v>
      </c>
      <c r="E75" s="16" t="s">
        <v>211</v>
      </c>
      <c r="F75" s="16" t="s">
        <v>212</v>
      </c>
      <c r="G75" s="18">
        <v>1465</v>
      </c>
      <c r="H75" s="19" t="str">
        <f>ROUND((1465/100*(100-M16)),0)</f>
        <v>0</v>
      </c>
      <c r="I75" s="14">
        <v>18</v>
      </c>
      <c r="J75" s="16" t="s">
        <v>51</v>
      </c>
      <c r="K75" s="16" t="s">
        <v>36</v>
      </c>
      <c r="L75" s="16"/>
      <c r="M75" s="16" t="str">
        <f>IF(L75="","",H75*L75)</f>
        <v>0</v>
      </c>
    </row>
    <row r="76" spans="1:13">
      <c r="A76" s="15" t="s">
        <v>213</v>
      </c>
      <c r="B76" s="16" t="s">
        <v>214</v>
      </c>
      <c r="C76" s="17" t="s">
        <v>32</v>
      </c>
      <c r="D76" s="16" t="s">
        <v>29</v>
      </c>
      <c r="E76" s="16" t="s">
        <v>215</v>
      </c>
      <c r="F76" s="16" t="s">
        <v>212</v>
      </c>
      <c r="G76" s="18">
        <v>29900</v>
      </c>
      <c r="H76" s="19" t="str">
        <f>ROUND((29900/100*(100-M16)),0)</f>
        <v>0</v>
      </c>
      <c r="I76" s="14">
        <v>1</v>
      </c>
      <c r="J76" s="16" t="s">
        <v>139</v>
      </c>
      <c r="K76" s="16" t="s">
        <v>36</v>
      </c>
      <c r="L76" s="16"/>
      <c r="M76" s="16" t="str">
        <f>IF(L76="","",H76*L76)</f>
        <v>0</v>
      </c>
    </row>
    <row r="77" spans="1:13">
      <c r="A77" s="15" t="s">
        <v>216</v>
      </c>
      <c r="B77" s="16" t="s">
        <v>217</v>
      </c>
      <c r="C77" s="17" t="s">
        <v>32</v>
      </c>
      <c r="D77" s="16" t="s">
        <v>29</v>
      </c>
      <c r="E77" s="16" t="s">
        <v>218</v>
      </c>
      <c r="F77" s="16" t="s">
        <v>212</v>
      </c>
      <c r="G77" s="18">
        <v>2230</v>
      </c>
      <c r="H77" s="19" t="str">
        <f>ROUND((2230/100*(100-M16)),0)</f>
        <v>0</v>
      </c>
      <c r="I77" s="14">
        <v>1</v>
      </c>
      <c r="J77" s="16" t="s">
        <v>51</v>
      </c>
      <c r="K77" s="16" t="s">
        <v>36</v>
      </c>
      <c r="L77" s="16"/>
      <c r="M77" s="16" t="str">
        <f>IF(L77="","",H77*L77)</f>
        <v>0</v>
      </c>
    </row>
    <row r="78" spans="1:13">
      <c r="A78" s="15" t="s">
        <v>219</v>
      </c>
      <c r="B78" s="16" t="s">
        <v>220</v>
      </c>
      <c r="C78" s="17" t="s">
        <v>32</v>
      </c>
      <c r="D78" s="16" t="s">
        <v>29</v>
      </c>
      <c r="E78" s="16" t="s">
        <v>221</v>
      </c>
      <c r="F78" s="16" t="s">
        <v>212</v>
      </c>
      <c r="G78" s="18">
        <v>5200</v>
      </c>
      <c r="H78" s="19" t="str">
        <f>ROUND((5200/100*(100-M16)),0)</f>
        <v>0</v>
      </c>
      <c r="I78" s="14">
        <v>1</v>
      </c>
      <c r="J78" s="16" t="s">
        <v>47</v>
      </c>
      <c r="K78" s="16" t="s">
        <v>36</v>
      </c>
      <c r="L78" s="16"/>
      <c r="M78" s="16" t="str">
        <f>IF(L78="","",H78*L78)</f>
        <v>0</v>
      </c>
    </row>
    <row r="79" spans="1:13">
      <c r="A79" s="15" t="s">
        <v>222</v>
      </c>
      <c r="B79" s="16" t="s">
        <v>223</v>
      </c>
      <c r="C79" s="17" t="s">
        <v>32</v>
      </c>
      <c r="D79" s="16" t="s">
        <v>29</v>
      </c>
      <c r="E79" s="16" t="s">
        <v>224</v>
      </c>
      <c r="F79" s="16" t="s">
        <v>212</v>
      </c>
      <c r="G79" s="18">
        <v>8990</v>
      </c>
      <c r="H79" s="19" t="str">
        <f>ROUND((8990/100*(100-M16)),0)</f>
        <v>0</v>
      </c>
      <c r="I79" s="14">
        <v>6</v>
      </c>
      <c r="J79" s="16" t="s">
        <v>119</v>
      </c>
      <c r="K79" s="16" t="s">
        <v>36</v>
      </c>
      <c r="L79" s="16"/>
      <c r="M79" s="16" t="str">
        <f>IF(L79="","",H79*L79)</f>
        <v>0</v>
      </c>
    </row>
    <row r="80" spans="1:13">
      <c r="A80" s="15" t="s">
        <v>225</v>
      </c>
      <c r="B80" s="16" t="s">
        <v>226</v>
      </c>
      <c r="C80" s="17" t="s">
        <v>32</v>
      </c>
      <c r="D80" s="16" t="s">
        <v>29</v>
      </c>
      <c r="E80" s="16" t="s">
        <v>227</v>
      </c>
      <c r="F80" s="16" t="s">
        <v>212</v>
      </c>
      <c r="G80" s="18">
        <v>615</v>
      </c>
      <c r="H80" s="19" t="str">
        <f>ROUND((615/100*(100-M16)),0)</f>
        <v>0</v>
      </c>
      <c r="I80" s="14">
        <v>17</v>
      </c>
      <c r="J80" s="16" t="s">
        <v>35</v>
      </c>
      <c r="K80" s="16" t="s">
        <v>36</v>
      </c>
      <c r="L80" s="16"/>
      <c r="M80" s="16" t="str">
        <f>IF(L80="","",H80*L80)</f>
        <v>0</v>
      </c>
    </row>
    <row r="81" spans="1:13">
      <c r="A81" s="15" t="s">
        <v>228</v>
      </c>
      <c r="B81" s="16" t="s">
        <v>229</v>
      </c>
      <c r="C81" s="17" t="s">
        <v>32</v>
      </c>
      <c r="D81" s="16" t="s">
        <v>29</v>
      </c>
      <c r="E81" s="16" t="s">
        <v>230</v>
      </c>
      <c r="F81" s="16" t="s">
        <v>212</v>
      </c>
      <c r="G81" s="18">
        <v>575</v>
      </c>
      <c r="H81" s="19" t="str">
        <f>ROUND((575/100*(100-M16)),0)</f>
        <v>0</v>
      </c>
      <c r="I81" s="14">
        <v>40</v>
      </c>
      <c r="J81" s="16" t="s">
        <v>35</v>
      </c>
      <c r="K81" s="16" t="s">
        <v>36</v>
      </c>
      <c r="L81" s="16"/>
      <c r="M81" s="16" t="str">
        <f>IF(L81="","",H81*L81)</f>
        <v>0</v>
      </c>
    </row>
    <row r="82" spans="1:13">
      <c r="A82" s="15" t="s">
        <v>231</v>
      </c>
      <c r="B82" s="16" t="s">
        <v>232</v>
      </c>
      <c r="C82" s="17" t="s">
        <v>32</v>
      </c>
      <c r="D82" s="16" t="s">
        <v>29</v>
      </c>
      <c r="E82" s="16" t="s">
        <v>233</v>
      </c>
      <c r="F82" s="16" t="s">
        <v>212</v>
      </c>
      <c r="G82" s="18">
        <v>575</v>
      </c>
      <c r="H82" s="19" t="str">
        <f>ROUND((575/100*(100-M16)),0)</f>
        <v>0</v>
      </c>
      <c r="I82" s="14">
        <v>40</v>
      </c>
      <c r="J82" s="16" t="s">
        <v>35</v>
      </c>
      <c r="K82" s="16" t="s">
        <v>36</v>
      </c>
      <c r="L82" s="16"/>
      <c r="M82" s="16" t="str">
        <f>IF(L82="","",H82*L82)</f>
        <v>0</v>
      </c>
    </row>
    <row r="83" spans="1:13">
      <c r="A83" s="15" t="s">
        <v>234</v>
      </c>
      <c r="B83" s="16" t="s">
        <v>235</v>
      </c>
      <c r="C83" s="17" t="s">
        <v>32</v>
      </c>
      <c r="D83" s="16" t="s">
        <v>29</v>
      </c>
      <c r="E83" s="16" t="s">
        <v>236</v>
      </c>
      <c r="F83" s="16" t="s">
        <v>212</v>
      </c>
      <c r="G83" s="18">
        <v>725</v>
      </c>
      <c r="H83" s="19" t="str">
        <f>ROUND((725/100*(100-M16)),0)</f>
        <v>0</v>
      </c>
      <c r="I83" s="14">
        <v>39</v>
      </c>
      <c r="J83" s="16" t="s">
        <v>35</v>
      </c>
      <c r="K83" s="16" t="s">
        <v>36</v>
      </c>
      <c r="L83" s="16"/>
      <c r="M83" s="16" t="str">
        <f>IF(L83="","",H83*L83)</f>
        <v>0</v>
      </c>
    </row>
    <row r="84" spans="1:13">
      <c r="A84" s="15" t="s">
        <v>237</v>
      </c>
      <c r="B84" s="16" t="s">
        <v>238</v>
      </c>
      <c r="C84" s="17" t="s">
        <v>32</v>
      </c>
      <c r="D84" s="16" t="s">
        <v>29</v>
      </c>
      <c r="E84" s="16" t="s">
        <v>239</v>
      </c>
      <c r="F84" s="16" t="s">
        <v>212</v>
      </c>
      <c r="G84" s="18">
        <v>1460</v>
      </c>
      <c r="H84" s="19" t="str">
        <f>ROUND((1460/100*(100-M16)),0)</f>
        <v>0</v>
      </c>
      <c r="I84" s="14">
        <v>6</v>
      </c>
      <c r="J84" s="16" t="s">
        <v>62</v>
      </c>
      <c r="K84" s="16" t="s">
        <v>36</v>
      </c>
      <c r="L84" s="16"/>
      <c r="M84" s="16" t="str">
        <f>IF(L84="","",H84*L84)</f>
        <v>0</v>
      </c>
    </row>
    <row r="85" spans="1:13">
      <c r="A85" s="15" t="s">
        <v>240</v>
      </c>
      <c r="B85" s="16" t="s">
        <v>241</v>
      </c>
      <c r="C85" s="17" t="s">
        <v>32</v>
      </c>
      <c r="D85" s="16" t="s">
        <v>29</v>
      </c>
      <c r="E85" s="16" t="s">
        <v>242</v>
      </c>
      <c r="F85" s="16" t="s">
        <v>212</v>
      </c>
      <c r="G85" s="18">
        <v>1320</v>
      </c>
      <c r="H85" s="19" t="str">
        <f>ROUND((1320/100*(100-M16)),0)</f>
        <v>0</v>
      </c>
      <c r="I85" s="14">
        <v>1</v>
      </c>
      <c r="J85" s="16" t="s">
        <v>43</v>
      </c>
      <c r="K85" s="16" t="s">
        <v>36</v>
      </c>
      <c r="L85" s="16"/>
      <c r="M85" s="16" t="str">
        <f>IF(L85="","",H85*L85)</f>
        <v>0</v>
      </c>
    </row>
    <row r="86" spans="1:13">
      <c r="A86" s="15" t="s">
        <v>243</v>
      </c>
      <c r="B86" s="16" t="s">
        <v>244</v>
      </c>
      <c r="C86" s="17" t="s">
        <v>32</v>
      </c>
      <c r="D86" s="16" t="s">
        <v>29</v>
      </c>
      <c r="E86" s="16" t="s">
        <v>245</v>
      </c>
      <c r="F86" s="16" t="s">
        <v>212</v>
      </c>
      <c r="G86" s="18">
        <v>1250</v>
      </c>
      <c r="H86" s="19" t="str">
        <f>ROUND((1250/100*(100-M16)),0)</f>
        <v>0</v>
      </c>
      <c r="I86" s="14">
        <v>24</v>
      </c>
      <c r="J86" s="16" t="s">
        <v>43</v>
      </c>
      <c r="K86" s="16" t="s">
        <v>36</v>
      </c>
      <c r="L86" s="16"/>
      <c r="M86" s="16" t="str">
        <f>IF(L86="","",H86*L86)</f>
        <v>0</v>
      </c>
    </row>
    <row r="87" spans="1:13">
      <c r="A87" s="15" t="s">
        <v>246</v>
      </c>
      <c r="B87" s="16" t="s">
        <v>247</v>
      </c>
      <c r="C87" s="17" t="s">
        <v>32</v>
      </c>
      <c r="D87" s="16" t="s">
        <v>29</v>
      </c>
      <c r="E87" s="16" t="s">
        <v>248</v>
      </c>
      <c r="F87" s="16" t="s">
        <v>212</v>
      </c>
      <c r="G87" s="18">
        <v>1790</v>
      </c>
      <c r="H87" s="19" t="str">
        <f>ROUND((1790/100*(100-M16)),0)</f>
        <v>0</v>
      </c>
      <c r="I87" s="14">
        <v>5</v>
      </c>
      <c r="J87" s="16" t="s">
        <v>43</v>
      </c>
      <c r="K87" s="16" t="s">
        <v>36</v>
      </c>
      <c r="L87" s="16"/>
      <c r="M87" s="16" t="str">
        <f>IF(L87="","",H87*L87)</f>
        <v>0</v>
      </c>
    </row>
    <row r="88" spans="1:13">
      <c r="A88" s="15" t="s">
        <v>249</v>
      </c>
      <c r="B88" s="16" t="s">
        <v>250</v>
      </c>
      <c r="C88" s="17" t="s">
        <v>32</v>
      </c>
      <c r="D88" s="16" t="s">
        <v>29</v>
      </c>
      <c r="E88" s="16" t="s">
        <v>251</v>
      </c>
      <c r="F88" s="16" t="s">
        <v>212</v>
      </c>
      <c r="G88" s="18">
        <v>1590</v>
      </c>
      <c r="H88" s="19" t="str">
        <f>ROUND((1590/100*(100-M16)),0)</f>
        <v>0</v>
      </c>
      <c r="I88" s="14">
        <v>18</v>
      </c>
      <c r="J88" s="16" t="s">
        <v>51</v>
      </c>
      <c r="K88" s="16" t="s">
        <v>36</v>
      </c>
      <c r="L88" s="16"/>
      <c r="M88" s="16" t="str">
        <f>IF(L88="","",H88*L88)</f>
        <v>0</v>
      </c>
    </row>
    <row r="89" spans="1:13">
      <c r="A89" s="15" t="s">
        <v>252</v>
      </c>
      <c r="B89" s="16" t="s">
        <v>253</v>
      </c>
      <c r="C89" s="17" t="s">
        <v>32</v>
      </c>
      <c r="D89" s="16" t="s">
        <v>29</v>
      </c>
      <c r="E89" s="16" t="s">
        <v>254</v>
      </c>
      <c r="F89" s="16" t="s">
        <v>212</v>
      </c>
      <c r="G89" s="18">
        <v>1525</v>
      </c>
      <c r="H89" s="19" t="str">
        <f>ROUND((1525/100*(100-M16)),0)</f>
        <v>0</v>
      </c>
      <c r="I89" s="14">
        <v>18</v>
      </c>
      <c r="J89" s="16" t="s">
        <v>51</v>
      </c>
      <c r="K89" s="16" t="s">
        <v>36</v>
      </c>
      <c r="L89" s="16"/>
      <c r="M89" s="16" t="str">
        <f>IF(L89="","",H89*L89)</f>
        <v>0</v>
      </c>
    </row>
    <row r="90" spans="1:13">
      <c r="A90" s="15" t="s">
        <v>255</v>
      </c>
      <c r="B90" s="16" t="s">
        <v>256</v>
      </c>
      <c r="C90" s="17" t="s">
        <v>32</v>
      </c>
      <c r="D90" s="16" t="s">
        <v>29</v>
      </c>
      <c r="E90" s="16" t="s">
        <v>257</v>
      </c>
      <c r="F90" s="16" t="s">
        <v>212</v>
      </c>
      <c r="G90" s="18">
        <v>1525</v>
      </c>
      <c r="H90" s="19" t="str">
        <f>ROUND((1525/100*(100-M16)),0)</f>
        <v>0</v>
      </c>
      <c r="I90" s="14">
        <v>17</v>
      </c>
      <c r="J90" s="16" t="s">
        <v>51</v>
      </c>
      <c r="K90" s="16" t="s">
        <v>36</v>
      </c>
      <c r="L90" s="16"/>
      <c r="M90" s="16" t="str">
        <f>IF(L90="","",H90*L90)</f>
        <v>0</v>
      </c>
    </row>
    <row r="91" spans="1:13">
      <c r="A91" s="15" t="s">
        <v>258</v>
      </c>
      <c r="B91" s="16" t="s">
        <v>259</v>
      </c>
      <c r="C91" s="17" t="s">
        <v>32</v>
      </c>
      <c r="D91" s="16" t="s">
        <v>29</v>
      </c>
      <c r="E91" s="16" t="s">
        <v>260</v>
      </c>
      <c r="F91" s="16" t="s">
        <v>212</v>
      </c>
      <c r="G91" s="18">
        <v>2050</v>
      </c>
      <c r="H91" s="19" t="str">
        <f>ROUND((2050/100*(100-M16)),0)</f>
        <v>0</v>
      </c>
      <c r="I91" s="14">
        <v>16</v>
      </c>
      <c r="J91" s="16" t="s">
        <v>58</v>
      </c>
      <c r="K91" s="16" t="s">
        <v>36</v>
      </c>
      <c r="L91" s="16"/>
      <c r="M91" s="16" t="str">
        <f>IF(L91="","",H91*L91)</f>
        <v>0</v>
      </c>
    </row>
    <row r="92" spans="1:13">
      <c r="A92" s="15" t="s">
        <v>261</v>
      </c>
      <c r="B92" s="16" t="s">
        <v>262</v>
      </c>
      <c r="C92" s="17" t="s">
        <v>32</v>
      </c>
      <c r="D92" s="16" t="s">
        <v>29</v>
      </c>
      <c r="E92" s="16" t="s">
        <v>263</v>
      </c>
      <c r="F92" s="16" t="s">
        <v>212</v>
      </c>
      <c r="G92" s="18">
        <v>2250</v>
      </c>
      <c r="H92" s="19" t="str">
        <f>ROUND((2250/100*(100-M16)),0)</f>
        <v>0</v>
      </c>
      <c r="I92" s="14">
        <v>16</v>
      </c>
      <c r="J92" s="16" t="s">
        <v>264</v>
      </c>
      <c r="K92" s="16" t="s">
        <v>36</v>
      </c>
      <c r="L92" s="16"/>
      <c r="M92" s="16" t="str">
        <f>IF(L92="","",H92*L92)</f>
        <v>0</v>
      </c>
    </row>
    <row r="93" spans="1:13">
      <c r="A93" s="15" t="s">
        <v>265</v>
      </c>
      <c r="B93" s="20" t="s">
        <v>266</v>
      </c>
      <c r="C93" s="17" t="s">
        <v>32</v>
      </c>
      <c r="D93" s="20" t="s">
        <v>87</v>
      </c>
      <c r="E93" s="20" t="s">
        <v>267</v>
      </c>
      <c r="F93" s="20" t="s">
        <v>212</v>
      </c>
      <c r="G93" s="18">
        <v>2825</v>
      </c>
      <c r="H93" s="19" t="str">
        <f>ROUND((2825/100*(100-M16)),0)</f>
        <v>0</v>
      </c>
      <c r="I93" s="14">
        <v>1</v>
      </c>
      <c r="J93" s="16" t="s">
        <v>47</v>
      </c>
      <c r="K93" s="16" t="s">
        <v>36</v>
      </c>
      <c r="L93" s="16"/>
      <c r="M93" s="16" t="str">
        <f>IF(L93="","",H93*L93)</f>
        <v>0</v>
      </c>
    </row>
    <row r="94" spans="1:13">
      <c r="A94" s="15" t="s">
        <v>268</v>
      </c>
      <c r="B94" s="16" t="s">
        <v>269</v>
      </c>
      <c r="C94" s="17" t="s">
        <v>32</v>
      </c>
      <c r="D94" s="16" t="s">
        <v>29</v>
      </c>
      <c r="E94" s="16" t="s">
        <v>270</v>
      </c>
      <c r="F94" s="16" t="s">
        <v>212</v>
      </c>
      <c r="G94" s="18">
        <v>2730</v>
      </c>
      <c r="H94" s="19" t="str">
        <f>ROUND((2730/100*(100-M16)),0)</f>
        <v>0</v>
      </c>
      <c r="I94" s="14">
        <v>12</v>
      </c>
      <c r="J94" s="16" t="s">
        <v>62</v>
      </c>
      <c r="K94" s="16" t="s">
        <v>36</v>
      </c>
      <c r="L94" s="16"/>
      <c r="M94" s="16" t="str">
        <f>IF(L94="","",H94*L94)</f>
        <v>0</v>
      </c>
    </row>
    <row r="95" spans="1:13">
      <c r="A95" s="15" t="s">
        <v>271</v>
      </c>
      <c r="B95" s="16" t="s">
        <v>272</v>
      </c>
      <c r="C95" s="17" t="s">
        <v>32</v>
      </c>
      <c r="D95" s="16" t="s">
        <v>29</v>
      </c>
      <c r="E95" s="16" t="s">
        <v>273</v>
      </c>
      <c r="F95" s="16" t="s">
        <v>212</v>
      </c>
      <c r="G95" s="18">
        <v>2975</v>
      </c>
      <c r="H95" s="19" t="str">
        <f>ROUND((2975/100*(100-M16)),0)</f>
        <v>0</v>
      </c>
      <c r="I95" s="14">
        <v>1</v>
      </c>
      <c r="J95" s="16" t="s">
        <v>62</v>
      </c>
      <c r="K95" s="16" t="s">
        <v>36</v>
      </c>
      <c r="L95" s="16"/>
      <c r="M95" s="16" t="str">
        <f>IF(L95="","",H95*L95)</f>
        <v>0</v>
      </c>
    </row>
    <row r="96" spans="1:13">
      <c r="A96" s="15" t="s">
        <v>274</v>
      </c>
      <c r="B96" s="16" t="s">
        <v>275</v>
      </c>
      <c r="C96" s="17" t="s">
        <v>32</v>
      </c>
      <c r="D96" s="16" t="s">
        <v>29</v>
      </c>
      <c r="E96" s="16" t="s">
        <v>276</v>
      </c>
      <c r="F96" s="16" t="s">
        <v>212</v>
      </c>
      <c r="G96" s="18">
        <v>4240</v>
      </c>
      <c r="H96" s="19" t="str">
        <f>ROUND((4240/100*(100-M16)),0)</f>
        <v>0</v>
      </c>
      <c r="I96" s="14">
        <v>3</v>
      </c>
      <c r="J96" s="16" t="s">
        <v>119</v>
      </c>
      <c r="K96" s="16" t="s">
        <v>36</v>
      </c>
      <c r="L96" s="16"/>
      <c r="M96" s="16" t="str">
        <f>IF(L96="","",H96*L96)</f>
        <v>0</v>
      </c>
    </row>
    <row r="97" spans="1:13">
      <c r="A97" s="15" t="s">
        <v>277</v>
      </c>
      <c r="B97" s="16" t="s">
        <v>278</v>
      </c>
      <c r="C97" s="17" t="s">
        <v>32</v>
      </c>
      <c r="D97" s="16" t="s">
        <v>29</v>
      </c>
      <c r="E97" s="16" t="s">
        <v>279</v>
      </c>
      <c r="F97" s="16" t="s">
        <v>212</v>
      </c>
      <c r="G97" s="18">
        <v>4240</v>
      </c>
      <c r="H97" s="19" t="str">
        <f>ROUND((4240/100*(100-M16)),0)</f>
        <v>0</v>
      </c>
      <c r="I97" s="14">
        <v>7</v>
      </c>
      <c r="J97" s="16" t="s">
        <v>119</v>
      </c>
      <c r="K97" s="16" t="s">
        <v>36</v>
      </c>
      <c r="L97" s="16"/>
      <c r="M97" s="16" t="str">
        <f>IF(L97="","",H97*L97)</f>
        <v>0</v>
      </c>
    </row>
    <row r="98" spans="1:13">
      <c r="A98" s="15" t="s">
        <v>280</v>
      </c>
      <c r="B98" s="16" t="s">
        <v>281</v>
      </c>
      <c r="C98" s="17" t="s">
        <v>32</v>
      </c>
      <c r="D98" s="16" t="s">
        <v>29</v>
      </c>
      <c r="E98" s="16" t="s">
        <v>282</v>
      </c>
      <c r="F98" s="16" t="s">
        <v>212</v>
      </c>
      <c r="G98" s="18">
        <v>4240</v>
      </c>
      <c r="H98" s="19" t="str">
        <f>ROUND((4240/100*(100-M16)),0)</f>
        <v>0</v>
      </c>
      <c r="I98" s="14">
        <v>4</v>
      </c>
      <c r="J98" s="16" t="s">
        <v>119</v>
      </c>
      <c r="K98" s="16" t="s">
        <v>36</v>
      </c>
      <c r="L98" s="16"/>
      <c r="M98" s="16" t="str">
        <f>IF(L98="","",H98*L98)</f>
        <v>0</v>
      </c>
    </row>
    <row r="99" spans="1:13">
      <c r="A99" s="15" t="s">
        <v>283</v>
      </c>
      <c r="B99" s="16" t="s">
        <v>284</v>
      </c>
      <c r="C99" s="17" t="s">
        <v>32</v>
      </c>
      <c r="D99" s="16" t="s">
        <v>29</v>
      </c>
      <c r="E99" s="16" t="s">
        <v>285</v>
      </c>
      <c r="F99" s="16" t="s">
        <v>212</v>
      </c>
      <c r="G99" s="18">
        <v>7695</v>
      </c>
      <c r="H99" s="19" t="str">
        <f>ROUND((7695/100*(100-M16)),0)</f>
        <v>0</v>
      </c>
      <c r="I99" s="14">
        <v>7</v>
      </c>
      <c r="J99" s="16" t="s">
        <v>119</v>
      </c>
      <c r="K99" s="16" t="s">
        <v>36</v>
      </c>
      <c r="L99" s="16"/>
      <c r="M99" s="16" t="str">
        <f>IF(L99="","",H99*L99)</f>
        <v>0</v>
      </c>
    </row>
    <row r="100" spans="1:13">
      <c r="A100" s="15" t="s">
        <v>286</v>
      </c>
      <c r="B100" s="16" t="s">
        <v>287</v>
      </c>
      <c r="C100" s="17" t="s">
        <v>32</v>
      </c>
      <c r="D100" s="16" t="s">
        <v>29</v>
      </c>
      <c r="E100" s="16" t="s">
        <v>288</v>
      </c>
      <c r="F100" s="16" t="s">
        <v>212</v>
      </c>
      <c r="G100" s="18">
        <v>7695</v>
      </c>
      <c r="H100" s="19" t="str">
        <f>ROUND((7695/100*(100-M16)),0)</f>
        <v>0</v>
      </c>
      <c r="I100" s="14">
        <v>4</v>
      </c>
      <c r="J100" s="16" t="s">
        <v>119</v>
      </c>
      <c r="K100" s="16" t="s">
        <v>36</v>
      </c>
      <c r="L100" s="16"/>
      <c r="M100" s="16" t="str">
        <f>IF(L100="","",H100*L100)</f>
        <v>0</v>
      </c>
    </row>
    <row r="101" spans="1:13">
      <c r="A101" s="15" t="s">
        <v>289</v>
      </c>
      <c r="B101" s="16" t="s">
        <v>290</v>
      </c>
      <c r="C101" s="17" t="s">
        <v>32</v>
      </c>
      <c r="D101" s="16" t="s">
        <v>29</v>
      </c>
      <c r="E101" s="16" t="s">
        <v>291</v>
      </c>
      <c r="F101" s="16" t="s">
        <v>212</v>
      </c>
      <c r="G101" s="18">
        <v>8655</v>
      </c>
      <c r="H101" s="19" t="str">
        <f>ROUND((8655/100*(100-M16)),0)</f>
        <v>0</v>
      </c>
      <c r="I101" s="14">
        <v>4</v>
      </c>
      <c r="J101" s="16" t="s">
        <v>129</v>
      </c>
      <c r="K101" s="16" t="s">
        <v>36</v>
      </c>
      <c r="L101" s="16"/>
      <c r="M101" s="16" t="str">
        <f>IF(L101="","",H101*L101)</f>
        <v>0</v>
      </c>
    </row>
    <row r="102" spans="1:13">
      <c r="A102" s="15" t="s">
        <v>292</v>
      </c>
      <c r="B102" s="16" t="s">
        <v>293</v>
      </c>
      <c r="C102" s="17" t="s">
        <v>32</v>
      </c>
      <c r="D102" s="16" t="s">
        <v>29</v>
      </c>
      <c r="E102" s="16" t="s">
        <v>294</v>
      </c>
      <c r="F102" s="16" t="s">
        <v>212</v>
      </c>
      <c r="G102" s="18">
        <v>12700</v>
      </c>
      <c r="H102" s="19" t="str">
        <f>ROUND((12700/100*(100-M16)),0)</f>
        <v>0</v>
      </c>
      <c r="I102" s="14">
        <v>1</v>
      </c>
      <c r="J102" s="16" t="s">
        <v>139</v>
      </c>
      <c r="K102" s="16" t="s">
        <v>36</v>
      </c>
      <c r="L102" s="16"/>
      <c r="M102" s="16" t="str">
        <f>IF(L102="","",H102*L102)</f>
        <v>0</v>
      </c>
    </row>
    <row r="103" spans="1:13">
      <c r="A103" s="15" t="s">
        <v>295</v>
      </c>
      <c r="B103" s="16" t="s">
        <v>296</v>
      </c>
      <c r="C103" s="17" t="s">
        <v>32</v>
      </c>
      <c r="D103" s="16" t="s">
        <v>29</v>
      </c>
      <c r="E103" s="16" t="s">
        <v>297</v>
      </c>
      <c r="F103" s="16" t="s">
        <v>212</v>
      </c>
      <c r="G103" s="18">
        <v>1775</v>
      </c>
      <c r="H103" s="19" t="str">
        <f>ROUND((1775/100*(100-M16)),0)</f>
        <v>0</v>
      </c>
      <c r="I103" s="14">
        <v>18</v>
      </c>
      <c r="J103" s="16" t="s">
        <v>51</v>
      </c>
      <c r="K103" s="16" t="s">
        <v>36</v>
      </c>
      <c r="L103" s="16"/>
      <c r="M103" s="16" t="str">
        <f>IF(L103="","",H103*L103)</f>
        <v>0</v>
      </c>
    </row>
    <row r="104" spans="1:13">
      <c r="A104" s="15" t="s">
        <v>298</v>
      </c>
      <c r="B104" s="16" t="s">
        <v>299</v>
      </c>
      <c r="C104" s="17" t="s">
        <v>32</v>
      </c>
      <c r="D104" s="16" t="s">
        <v>29</v>
      </c>
      <c r="E104" s="16" t="s">
        <v>300</v>
      </c>
      <c r="F104" s="16" t="s">
        <v>212</v>
      </c>
      <c r="G104" s="18">
        <v>1775</v>
      </c>
      <c r="H104" s="19" t="str">
        <f>ROUND((1775/100*(100-M16)),0)</f>
        <v>0</v>
      </c>
      <c r="I104" s="14">
        <v>15</v>
      </c>
      <c r="J104" s="16" t="s">
        <v>51</v>
      </c>
      <c r="K104" s="16" t="s">
        <v>36</v>
      </c>
      <c r="L104" s="16"/>
      <c r="M104" s="16" t="str">
        <f>IF(L104="","",H104*L104)</f>
        <v>0</v>
      </c>
    </row>
    <row r="105" spans="1:13">
      <c r="A105" s="15" t="s">
        <v>301</v>
      </c>
      <c r="B105" s="16" t="s">
        <v>302</v>
      </c>
      <c r="C105" s="17" t="s">
        <v>32</v>
      </c>
      <c r="D105" s="16" t="s">
        <v>29</v>
      </c>
      <c r="E105" s="16" t="s">
        <v>303</v>
      </c>
      <c r="F105" s="16" t="s">
        <v>212</v>
      </c>
      <c r="G105" s="18">
        <v>2310</v>
      </c>
      <c r="H105" s="19" t="str">
        <f>ROUND((2310/100*(100-M16)),0)</f>
        <v>0</v>
      </c>
      <c r="I105" s="14">
        <v>1</v>
      </c>
      <c r="J105" s="16" t="s">
        <v>62</v>
      </c>
      <c r="K105" s="16" t="s">
        <v>36</v>
      </c>
      <c r="L105" s="16"/>
      <c r="M105" s="16" t="str">
        <f>IF(L105="","",H105*L105)</f>
        <v>0</v>
      </c>
    </row>
    <row r="106" spans="1:13">
      <c r="A106" s="15" t="s">
        <v>304</v>
      </c>
      <c r="B106" s="16" t="s">
        <v>305</v>
      </c>
      <c r="C106" s="17" t="s">
        <v>32</v>
      </c>
      <c r="D106" s="16" t="s">
        <v>29</v>
      </c>
      <c r="E106" s="16" t="s">
        <v>306</v>
      </c>
      <c r="F106" s="16" t="s">
        <v>212</v>
      </c>
      <c r="G106" s="18">
        <v>4695</v>
      </c>
      <c r="H106" s="19" t="str">
        <f>ROUND((4695/100*(100-M16)),0)</f>
        <v>0</v>
      </c>
      <c r="I106" s="14">
        <v>3</v>
      </c>
      <c r="J106" s="16" t="s">
        <v>69</v>
      </c>
      <c r="K106" s="16" t="s">
        <v>36</v>
      </c>
      <c r="L106" s="16"/>
      <c r="M106" s="16" t="str">
        <f>IF(L106="","",H106*L106)</f>
        <v>0</v>
      </c>
    </row>
    <row r="107" spans="1:13">
      <c r="A107" s="15" t="s">
        <v>307</v>
      </c>
      <c r="B107" s="16" t="s">
        <v>308</v>
      </c>
      <c r="C107" s="17" t="s">
        <v>32</v>
      </c>
      <c r="D107" s="16" t="s">
        <v>29</v>
      </c>
      <c r="E107" s="16" t="s">
        <v>309</v>
      </c>
      <c r="F107" s="16" t="s">
        <v>212</v>
      </c>
      <c r="G107" s="18">
        <v>5775</v>
      </c>
      <c r="H107" s="19" t="str">
        <f>ROUND((5775/100*(100-M16)),0)</f>
        <v>0</v>
      </c>
      <c r="I107" s="14">
        <v>6</v>
      </c>
      <c r="J107" s="16" t="s">
        <v>69</v>
      </c>
      <c r="K107" s="16" t="s">
        <v>36</v>
      </c>
      <c r="L107" s="16"/>
      <c r="M107" s="16" t="str">
        <f>IF(L107="","",H107*L107)</f>
        <v>0</v>
      </c>
    </row>
    <row r="108" spans="1:13">
      <c r="A108" s="15" t="s">
        <v>310</v>
      </c>
      <c r="B108" s="16" t="s">
        <v>311</v>
      </c>
      <c r="C108" s="17" t="s">
        <v>32</v>
      </c>
      <c r="D108" s="16" t="s">
        <v>29</v>
      </c>
      <c r="E108" s="16" t="s">
        <v>312</v>
      </c>
      <c r="F108" s="16" t="s">
        <v>212</v>
      </c>
      <c r="G108" s="18">
        <v>10400</v>
      </c>
      <c r="H108" s="19" t="str">
        <f>ROUND((10400/100*(100-M16)),0)</f>
        <v>0</v>
      </c>
      <c r="I108" s="14">
        <v>1</v>
      </c>
      <c r="J108" s="16" t="s">
        <v>129</v>
      </c>
      <c r="K108" s="16" t="s">
        <v>36</v>
      </c>
      <c r="L108" s="16"/>
      <c r="M108" s="16" t="str">
        <f>IF(L108="","",H108*L108)</f>
        <v>0</v>
      </c>
    </row>
    <row r="109" spans="1:13">
      <c r="A109" s="15" t="s">
        <v>313</v>
      </c>
      <c r="B109" s="16" t="s">
        <v>314</v>
      </c>
      <c r="C109" s="17" t="s">
        <v>32</v>
      </c>
      <c r="D109" s="16" t="s">
        <v>29</v>
      </c>
      <c r="E109" s="16" t="s">
        <v>315</v>
      </c>
      <c r="F109" s="16" t="s">
        <v>212</v>
      </c>
      <c r="G109" s="18">
        <v>10400</v>
      </c>
      <c r="H109" s="19" t="str">
        <f>ROUND((10400/100*(100-M16)),0)</f>
        <v>0</v>
      </c>
      <c r="I109" s="14">
        <v>1</v>
      </c>
      <c r="J109" s="16" t="s">
        <v>129</v>
      </c>
      <c r="K109" s="16" t="s">
        <v>36</v>
      </c>
      <c r="L109" s="16"/>
      <c r="M109" s="16" t="str">
        <f>IF(L109="","",H109*L109)</f>
        <v>0</v>
      </c>
    </row>
    <row r="110" spans="1:13">
      <c r="A110" s="15" t="s">
        <v>316</v>
      </c>
      <c r="B110" s="16" t="s">
        <v>317</v>
      </c>
      <c r="C110" s="17" t="s">
        <v>32</v>
      </c>
      <c r="D110" s="16" t="s">
        <v>29</v>
      </c>
      <c r="E110" s="16" t="s">
        <v>318</v>
      </c>
      <c r="F110" s="16" t="s">
        <v>212</v>
      </c>
      <c r="G110" s="18">
        <v>13650</v>
      </c>
      <c r="H110" s="19" t="str">
        <f>ROUND((13650/100*(100-M16)),0)</f>
        <v>0</v>
      </c>
      <c r="I110" s="14">
        <v>1</v>
      </c>
      <c r="J110" s="16" t="s">
        <v>139</v>
      </c>
      <c r="K110" s="16" t="s">
        <v>36</v>
      </c>
      <c r="L110" s="16"/>
      <c r="M110" s="16" t="str">
        <f>IF(L110="","",H110*L110)</f>
        <v>0</v>
      </c>
    </row>
    <row r="111" spans="1:13">
      <c r="A111" s="15" t="s">
        <v>319</v>
      </c>
      <c r="B111" s="16" t="s">
        <v>320</v>
      </c>
      <c r="C111" s="17" t="s">
        <v>32</v>
      </c>
      <c r="D111" s="16" t="s">
        <v>29</v>
      </c>
      <c r="E111" s="16" t="s">
        <v>321</v>
      </c>
      <c r="F111" s="16" t="s">
        <v>212</v>
      </c>
      <c r="G111" s="18">
        <v>12850</v>
      </c>
      <c r="H111" s="19" t="str">
        <f>ROUND((12850/100*(100-M16)),0)</f>
        <v>0</v>
      </c>
      <c r="I111" s="14">
        <v>1</v>
      </c>
      <c r="J111" s="16" t="s">
        <v>129</v>
      </c>
      <c r="K111" s="16" t="s">
        <v>36</v>
      </c>
      <c r="L111" s="16"/>
      <c r="M111" s="16" t="str">
        <f>IF(L111="","",H111*L111)</f>
        <v>0</v>
      </c>
    </row>
    <row r="112" spans="1:13">
      <c r="A112" s="15" t="s">
        <v>322</v>
      </c>
      <c r="B112" s="20" t="s">
        <v>323</v>
      </c>
      <c r="C112" s="17"/>
      <c r="D112" s="20" t="s">
        <v>87</v>
      </c>
      <c r="E112" s="20" t="s">
        <v>324</v>
      </c>
      <c r="F112" s="20" t="s">
        <v>212</v>
      </c>
      <c r="G112" s="18">
        <v>17500</v>
      </c>
      <c r="H112" s="19" t="str">
        <f>ROUND((17500/100*(100-M16)),0)</f>
        <v>0</v>
      </c>
      <c r="I112" s="14">
        <v>1</v>
      </c>
      <c r="J112" s="16" t="s">
        <v>139</v>
      </c>
      <c r="K112" s="16" t="s">
        <v>36</v>
      </c>
      <c r="L112" s="16"/>
      <c r="M112" s="16" t="str">
        <f>IF(L112="","",H112*L112)</f>
        <v>0</v>
      </c>
    </row>
    <row r="113" spans="1:13">
      <c r="A113" s="15" t="s">
        <v>325</v>
      </c>
      <c r="B113" s="16" t="s">
        <v>326</v>
      </c>
      <c r="C113" s="17" t="s">
        <v>32</v>
      </c>
      <c r="D113" s="16" t="s">
        <v>29</v>
      </c>
      <c r="E113" s="16" t="s">
        <v>327</v>
      </c>
      <c r="F113" s="16" t="s">
        <v>212</v>
      </c>
      <c r="G113" s="18">
        <v>53865</v>
      </c>
      <c r="H113" s="19" t="str">
        <f>ROUND((53865/100*(100-M16)),0)</f>
        <v>0</v>
      </c>
      <c r="I113" s="14">
        <v>1</v>
      </c>
      <c r="J113" s="16" t="s">
        <v>139</v>
      </c>
      <c r="K113" s="16" t="s">
        <v>36</v>
      </c>
      <c r="L113" s="16"/>
      <c r="M113" s="16" t="str">
        <f>IF(L113="","",H113*L113)</f>
        <v>0</v>
      </c>
    </row>
    <row r="114" spans="1:13">
      <c r="A114" s="15" t="s">
        <v>328</v>
      </c>
      <c r="B114" s="16" t="s">
        <v>329</v>
      </c>
      <c r="C114" s="17" t="s">
        <v>32</v>
      </c>
      <c r="D114" s="16" t="s">
        <v>29</v>
      </c>
      <c r="E114" s="16" t="s">
        <v>330</v>
      </c>
      <c r="F114" s="16" t="s">
        <v>212</v>
      </c>
      <c r="G114" s="18">
        <v>60800</v>
      </c>
      <c r="H114" s="19" t="str">
        <f>ROUND((60800/100*(100-M16)),0)</f>
        <v>0</v>
      </c>
      <c r="I114" s="14">
        <v>2</v>
      </c>
      <c r="J114" s="16" t="s">
        <v>139</v>
      </c>
      <c r="K114" s="16" t="s">
        <v>36</v>
      </c>
      <c r="L114" s="16"/>
      <c r="M114" s="16" t="str">
        <f>IF(L114="","",H114*L114)</f>
        <v>0</v>
      </c>
    </row>
    <row r="115" spans="1:13">
      <c r="A115" s="15" t="s">
        <v>331</v>
      </c>
      <c r="B115" s="16" t="s">
        <v>332</v>
      </c>
      <c r="C115" s="17" t="s">
        <v>32</v>
      </c>
      <c r="D115" s="16" t="s">
        <v>29</v>
      </c>
      <c r="E115" s="16" t="s">
        <v>333</v>
      </c>
      <c r="F115" s="16" t="s">
        <v>212</v>
      </c>
      <c r="G115" s="18">
        <v>2090</v>
      </c>
      <c r="H115" s="19" t="str">
        <f>ROUND((2090/100*(100-M16)),0)</f>
        <v>0</v>
      </c>
      <c r="I115" s="14">
        <v>8</v>
      </c>
      <c r="J115" s="16" t="s">
        <v>62</v>
      </c>
      <c r="K115" s="16" t="s">
        <v>36</v>
      </c>
      <c r="L115" s="16"/>
      <c r="M115" s="16" t="str">
        <f>IF(L115="","",H115*L115)</f>
        <v>0</v>
      </c>
    </row>
    <row r="116" spans="1:13">
      <c r="A116" s="15" t="s">
        <v>334</v>
      </c>
      <c r="B116" s="16" t="s">
        <v>335</v>
      </c>
      <c r="C116" s="17" t="s">
        <v>32</v>
      </c>
      <c r="D116" s="16" t="s">
        <v>29</v>
      </c>
      <c r="E116" s="16" t="s">
        <v>336</v>
      </c>
      <c r="F116" s="16" t="s">
        <v>212</v>
      </c>
      <c r="G116" s="18">
        <v>2690</v>
      </c>
      <c r="H116" s="19" t="str">
        <f>ROUND((2690/100*(100-M16)),0)</f>
        <v>0</v>
      </c>
      <c r="I116" s="14">
        <v>1</v>
      </c>
      <c r="J116" s="16" t="s">
        <v>47</v>
      </c>
      <c r="K116" s="16" t="s">
        <v>36</v>
      </c>
      <c r="L116" s="16"/>
      <c r="M116" s="16" t="str">
        <f>IF(L116="","",H116*L116)</f>
        <v>0</v>
      </c>
    </row>
    <row r="117" spans="1:13">
      <c r="A117" s="15" t="s">
        <v>337</v>
      </c>
      <c r="B117" s="16" t="s">
        <v>338</v>
      </c>
      <c r="C117" s="17" t="s">
        <v>32</v>
      </c>
      <c r="D117" s="16" t="s">
        <v>29</v>
      </c>
      <c r="E117" s="16" t="s">
        <v>339</v>
      </c>
      <c r="F117" s="16" t="s">
        <v>212</v>
      </c>
      <c r="G117" s="18">
        <v>2500</v>
      </c>
      <c r="H117" s="19" t="str">
        <f>ROUND((2500/100*(100-M16)),0)</f>
        <v>0</v>
      </c>
      <c r="I117" s="14">
        <v>12</v>
      </c>
      <c r="J117" s="16" t="s">
        <v>62</v>
      </c>
      <c r="K117" s="16" t="s">
        <v>36</v>
      </c>
      <c r="L117" s="16"/>
      <c r="M117" s="16" t="str">
        <f>IF(L117="","",H117*L117)</f>
        <v>0</v>
      </c>
    </row>
    <row r="118" spans="1:13">
      <c r="A118" s="15" t="s">
        <v>340</v>
      </c>
      <c r="B118" s="16" t="s">
        <v>341</v>
      </c>
      <c r="C118" s="17" t="s">
        <v>32</v>
      </c>
      <c r="D118" s="16" t="s">
        <v>29</v>
      </c>
      <c r="E118" s="16" t="s">
        <v>342</v>
      </c>
      <c r="F118" s="16" t="s">
        <v>212</v>
      </c>
      <c r="G118" s="18">
        <v>4990</v>
      </c>
      <c r="H118" s="19" t="str">
        <f>ROUND((4990/100*(100-M16)),0)</f>
        <v>0</v>
      </c>
      <c r="I118" s="14">
        <v>1</v>
      </c>
      <c r="J118" s="16" t="s">
        <v>119</v>
      </c>
      <c r="K118" s="16" t="s">
        <v>36</v>
      </c>
      <c r="L118" s="16"/>
      <c r="M118" s="16" t="str">
        <f>IF(L118="","",H118*L118)</f>
        <v>0</v>
      </c>
    </row>
    <row r="119" spans="1:13">
      <c r="A119" s="15" t="s">
        <v>343</v>
      </c>
      <c r="B119" s="16" t="s">
        <v>344</v>
      </c>
      <c r="C119" s="17" t="s">
        <v>32</v>
      </c>
      <c r="D119" s="16" t="s">
        <v>29</v>
      </c>
      <c r="E119" s="16" t="s">
        <v>345</v>
      </c>
      <c r="F119" s="16" t="s">
        <v>212</v>
      </c>
      <c r="G119" s="18">
        <v>6500</v>
      </c>
      <c r="H119" s="19" t="str">
        <f>ROUND((6500/100*(100-M16)),0)</f>
        <v>0</v>
      </c>
      <c r="I119" s="14">
        <v>3</v>
      </c>
      <c r="J119" s="16" t="s">
        <v>119</v>
      </c>
      <c r="K119" s="16" t="s">
        <v>36</v>
      </c>
      <c r="L119" s="16"/>
      <c r="M119" s="16" t="str">
        <f>IF(L119="","",H119*L119)</f>
        <v>0</v>
      </c>
    </row>
    <row r="120" spans="1:13">
      <c r="A120" s="15" t="s">
        <v>346</v>
      </c>
      <c r="B120" s="16" t="s">
        <v>347</v>
      </c>
      <c r="C120" s="17" t="s">
        <v>32</v>
      </c>
      <c r="D120" s="16" t="s">
        <v>29</v>
      </c>
      <c r="E120" s="16" t="s">
        <v>348</v>
      </c>
      <c r="F120" s="16" t="s">
        <v>212</v>
      </c>
      <c r="G120" s="18">
        <v>7300</v>
      </c>
      <c r="H120" s="19" t="str">
        <f>ROUND((7300/100*(100-M16)),0)</f>
        <v>0</v>
      </c>
      <c r="I120" s="14">
        <v>4</v>
      </c>
      <c r="J120" s="16" t="s">
        <v>119</v>
      </c>
      <c r="K120" s="16" t="s">
        <v>36</v>
      </c>
      <c r="L120" s="16"/>
      <c r="M120" s="16" t="str">
        <f>IF(L120="","",H120*L120)</f>
        <v>0</v>
      </c>
    </row>
    <row r="121" spans="1:13">
      <c r="A121" s="15" t="s">
        <v>349</v>
      </c>
      <c r="B121" s="16" t="s">
        <v>350</v>
      </c>
      <c r="C121" s="17" t="s">
        <v>32</v>
      </c>
      <c r="D121" s="16" t="s">
        <v>29</v>
      </c>
      <c r="E121" s="16" t="s">
        <v>351</v>
      </c>
      <c r="F121" s="16" t="s">
        <v>212</v>
      </c>
      <c r="G121" s="18">
        <v>6560</v>
      </c>
      <c r="H121" s="19" t="str">
        <f>ROUND((6560/100*(100-M16)),0)</f>
        <v>0</v>
      </c>
      <c r="I121" s="14">
        <v>3</v>
      </c>
      <c r="J121" s="16" t="s">
        <v>119</v>
      </c>
      <c r="K121" s="16" t="s">
        <v>36</v>
      </c>
      <c r="L121" s="16"/>
      <c r="M121" s="16" t="str">
        <f>IF(L121="","",H121*L121)</f>
        <v>0</v>
      </c>
    </row>
    <row r="122" spans="1:13">
      <c r="A122" s="15" t="s">
        <v>352</v>
      </c>
      <c r="B122" s="16" t="s">
        <v>353</v>
      </c>
      <c r="C122" s="17" t="s">
        <v>32</v>
      </c>
      <c r="D122" s="16" t="s">
        <v>29</v>
      </c>
      <c r="E122" s="16" t="s">
        <v>354</v>
      </c>
      <c r="F122" s="16" t="s">
        <v>212</v>
      </c>
      <c r="G122" s="18">
        <v>9710</v>
      </c>
      <c r="H122" s="19" t="str">
        <f>ROUND((9710/100*(100-M16)),0)</f>
        <v>0</v>
      </c>
      <c r="I122" s="14">
        <v>1</v>
      </c>
      <c r="J122" s="16" t="s">
        <v>129</v>
      </c>
      <c r="K122" s="16" t="s">
        <v>36</v>
      </c>
      <c r="L122" s="16"/>
      <c r="M122" s="16" t="str">
        <f>IF(L122="","",H122*L122)</f>
        <v>0</v>
      </c>
    </row>
    <row r="123" spans="1:13">
      <c r="A123" s="15" t="s">
        <v>355</v>
      </c>
      <c r="B123" s="16" t="s">
        <v>356</v>
      </c>
      <c r="C123" s="17" t="s">
        <v>32</v>
      </c>
      <c r="D123" s="16" t="s">
        <v>29</v>
      </c>
      <c r="E123" s="16" t="s">
        <v>357</v>
      </c>
      <c r="F123" s="16" t="s">
        <v>212</v>
      </c>
      <c r="G123" s="18">
        <v>11950</v>
      </c>
      <c r="H123" s="19" t="str">
        <f>ROUND((11950/100*(100-M16)),0)</f>
        <v>0</v>
      </c>
      <c r="I123" s="14">
        <v>2</v>
      </c>
      <c r="J123" s="16" t="s">
        <v>129</v>
      </c>
      <c r="K123" s="16" t="s">
        <v>36</v>
      </c>
      <c r="L123" s="16"/>
      <c r="M123" s="16" t="str">
        <f>IF(L123="","",H123*L123)</f>
        <v>0</v>
      </c>
    </row>
    <row r="124" spans="1:13">
      <c r="A124" s="15" t="s">
        <v>358</v>
      </c>
      <c r="B124" s="16" t="s">
        <v>359</v>
      </c>
      <c r="C124" s="17" t="s">
        <v>32</v>
      </c>
      <c r="D124" s="16" t="s">
        <v>29</v>
      </c>
      <c r="E124" s="16" t="s">
        <v>360</v>
      </c>
      <c r="F124" s="16" t="s">
        <v>212</v>
      </c>
      <c r="G124" s="18">
        <v>14150</v>
      </c>
      <c r="H124" s="19" t="str">
        <f>ROUND((14150/100*(100-M16)),0)</f>
        <v>0</v>
      </c>
      <c r="I124" s="14">
        <v>2</v>
      </c>
      <c r="J124" s="16" t="s">
        <v>129</v>
      </c>
      <c r="K124" s="16" t="s">
        <v>36</v>
      </c>
      <c r="L124" s="16"/>
      <c r="M124" s="16" t="str">
        <f>IF(L124="","",H124*L124)</f>
        <v>0</v>
      </c>
    </row>
    <row r="125" spans="1:13">
      <c r="A125" s="15" t="s">
        <v>361</v>
      </c>
      <c r="B125" s="16" t="s">
        <v>362</v>
      </c>
      <c r="C125" s="17" t="s">
        <v>32</v>
      </c>
      <c r="D125" s="16" t="s">
        <v>29</v>
      </c>
      <c r="E125" s="16" t="s">
        <v>363</v>
      </c>
      <c r="F125" s="16" t="s">
        <v>212</v>
      </c>
      <c r="G125" s="18">
        <v>26250</v>
      </c>
      <c r="H125" s="19" t="str">
        <f>ROUND((26250/100*(100-M16)),0)</f>
        <v>0</v>
      </c>
      <c r="I125" s="14">
        <v>4</v>
      </c>
      <c r="J125" s="16" t="s">
        <v>139</v>
      </c>
      <c r="K125" s="16" t="s">
        <v>36</v>
      </c>
      <c r="L125" s="16"/>
      <c r="M125" s="16" t="str">
        <f>IF(L125="","",H125*L125)</f>
        <v>0</v>
      </c>
    </row>
    <row r="126" spans="1:13">
      <c r="A126" s="15" t="s">
        <v>364</v>
      </c>
      <c r="B126" s="16" t="s">
        <v>365</v>
      </c>
      <c r="C126" s="17" t="s">
        <v>32</v>
      </c>
      <c r="D126" s="16" t="s">
        <v>29</v>
      </c>
      <c r="E126" s="16" t="s">
        <v>366</v>
      </c>
      <c r="F126" s="16" t="s">
        <v>212</v>
      </c>
      <c r="G126" s="18">
        <v>20900</v>
      </c>
      <c r="H126" s="19" t="str">
        <f>ROUND((20900/100*(100-M16)),0)</f>
        <v>0</v>
      </c>
      <c r="I126" s="14">
        <v>1</v>
      </c>
      <c r="J126" s="16" t="s">
        <v>139</v>
      </c>
      <c r="K126" s="16" t="s">
        <v>36</v>
      </c>
      <c r="L126" s="16"/>
      <c r="M126" s="16" t="str">
        <f>IF(L126="","",H126*L126)</f>
        <v>0</v>
      </c>
    </row>
    <row r="127" spans="1:13">
      <c r="A127" s="15" t="s">
        <v>367</v>
      </c>
      <c r="B127" s="16" t="s">
        <v>368</v>
      </c>
      <c r="C127" s="17" t="s">
        <v>32</v>
      </c>
      <c r="D127" s="16" t="s">
        <v>29</v>
      </c>
      <c r="E127" s="16" t="s">
        <v>369</v>
      </c>
      <c r="F127" s="16" t="s">
        <v>212</v>
      </c>
      <c r="G127" s="18">
        <v>21900</v>
      </c>
      <c r="H127" s="19" t="str">
        <f>ROUND((21900/100*(100-M16)),0)</f>
        <v>0</v>
      </c>
      <c r="I127" s="14">
        <v>1</v>
      </c>
      <c r="J127" s="16" t="s">
        <v>139</v>
      </c>
      <c r="K127" s="16" t="s">
        <v>36</v>
      </c>
      <c r="L127" s="16"/>
      <c r="M127" s="16" t="str">
        <f>IF(L127="","",H127*L127)</f>
        <v>0</v>
      </c>
    </row>
    <row r="128" spans="1:13">
      <c r="A128" s="15" t="s">
        <v>370</v>
      </c>
      <c r="B128" s="16" t="s">
        <v>371</v>
      </c>
      <c r="C128" s="17" t="s">
        <v>32</v>
      </c>
      <c r="D128" s="16" t="s">
        <v>29</v>
      </c>
      <c r="E128" s="16" t="s">
        <v>372</v>
      </c>
      <c r="F128" s="16" t="s">
        <v>212</v>
      </c>
      <c r="G128" s="18">
        <v>74000</v>
      </c>
      <c r="H128" s="19" t="str">
        <f>ROUND((74000/100*(100-M16)),0)</f>
        <v>0</v>
      </c>
      <c r="I128" s="14">
        <v>2</v>
      </c>
      <c r="J128" s="16" t="s">
        <v>139</v>
      </c>
      <c r="K128" s="16" t="s">
        <v>36</v>
      </c>
      <c r="L128" s="16"/>
      <c r="M128" s="16" t="str">
        <f>IF(L128="","",H128*L128)</f>
        <v>0</v>
      </c>
    </row>
    <row r="129" spans="1:13">
      <c r="A129" s="15" t="s">
        <v>373</v>
      </c>
      <c r="B129" s="16" t="s">
        <v>374</v>
      </c>
      <c r="C129" s="17" t="s">
        <v>32</v>
      </c>
      <c r="D129" s="16" t="s">
        <v>29</v>
      </c>
      <c r="E129" s="16" t="s">
        <v>375</v>
      </c>
      <c r="F129" s="16" t="s">
        <v>212</v>
      </c>
      <c r="G129" s="18">
        <v>3990</v>
      </c>
      <c r="H129" s="19" t="str">
        <f>ROUND((3990/100*(100-M16)),0)</f>
        <v>0</v>
      </c>
      <c r="I129" s="14">
        <v>4</v>
      </c>
      <c r="J129" s="16" t="s">
        <v>47</v>
      </c>
      <c r="K129" s="16" t="s">
        <v>36</v>
      </c>
      <c r="L129" s="16"/>
      <c r="M129" s="16" t="str">
        <f>IF(L129="","",H129*L129)</f>
        <v>0</v>
      </c>
    </row>
    <row r="130" spans="1:13">
      <c r="A130" s="15" t="s">
        <v>376</v>
      </c>
      <c r="B130" s="16" t="s">
        <v>377</v>
      </c>
      <c r="C130" s="17" t="s">
        <v>32</v>
      </c>
      <c r="D130" s="16" t="s">
        <v>29</v>
      </c>
      <c r="E130" s="16" t="s">
        <v>378</v>
      </c>
      <c r="F130" s="16" t="s">
        <v>212</v>
      </c>
      <c r="G130" s="18">
        <v>8990</v>
      </c>
      <c r="H130" s="19" t="str">
        <f>ROUND((8990/100*(100-M16)),0)</f>
        <v>0</v>
      </c>
      <c r="I130" s="14">
        <v>4</v>
      </c>
      <c r="J130" s="16" t="s">
        <v>119</v>
      </c>
      <c r="K130" s="16" t="s">
        <v>36</v>
      </c>
      <c r="L130" s="16"/>
      <c r="M130" s="16" t="str">
        <f>IF(L130="","",H130*L130)</f>
        <v>0</v>
      </c>
    </row>
    <row r="131" spans="1:13">
      <c r="A131" s="15" t="s">
        <v>379</v>
      </c>
      <c r="B131" s="16" t="s">
        <v>380</v>
      </c>
      <c r="C131" s="17" t="s">
        <v>32</v>
      </c>
      <c r="D131" s="16" t="s">
        <v>29</v>
      </c>
      <c r="E131" s="16" t="s">
        <v>381</v>
      </c>
      <c r="F131" s="16" t="s">
        <v>212</v>
      </c>
      <c r="G131" s="18">
        <v>42800</v>
      </c>
      <c r="H131" s="19" t="str">
        <f>ROUND((42800/100*(100-M16)),0)</f>
        <v>0</v>
      </c>
      <c r="I131" s="14">
        <v>1</v>
      </c>
      <c r="J131" s="16" t="s">
        <v>139</v>
      </c>
      <c r="K131" s="16" t="s">
        <v>36</v>
      </c>
      <c r="L131" s="16"/>
      <c r="M131" s="16" t="str">
        <f>IF(L131="","",H131*L131)</f>
        <v>0</v>
      </c>
    </row>
    <row r="132" spans="1:13">
      <c r="A132" s="15" t="s">
        <v>382</v>
      </c>
      <c r="B132" s="20" t="s">
        <v>383</v>
      </c>
      <c r="C132" s="17"/>
      <c r="D132" s="20" t="s">
        <v>87</v>
      </c>
      <c r="E132" s="20" t="s">
        <v>384</v>
      </c>
      <c r="F132" s="20" t="s">
        <v>212</v>
      </c>
      <c r="G132" s="18">
        <v>70800</v>
      </c>
      <c r="H132" s="19" t="str">
        <f>ROUND((70800/100*(100-M16)),0)</f>
        <v>0</v>
      </c>
      <c r="I132" s="14">
        <v>1</v>
      </c>
      <c r="J132" s="16" t="s">
        <v>139</v>
      </c>
      <c r="K132" s="16" t="s">
        <v>36</v>
      </c>
      <c r="L132" s="16"/>
      <c r="M132" s="16" t="str">
        <f>IF(L132="","",H132*L132)</f>
        <v>0</v>
      </c>
    </row>
    <row r="133" spans="1:13">
      <c r="A133" s="15" t="s">
        <v>385</v>
      </c>
      <c r="B133" s="20" t="s">
        <v>386</v>
      </c>
      <c r="C133" s="17"/>
      <c r="D133" s="20" t="s">
        <v>87</v>
      </c>
      <c r="E133" s="20" t="s">
        <v>387</v>
      </c>
      <c r="F133" s="20" t="s">
        <v>212</v>
      </c>
      <c r="G133" s="18">
        <v>70800</v>
      </c>
      <c r="H133" s="19" t="str">
        <f>ROUND((70800/100*(100-M16)),0)</f>
        <v>0</v>
      </c>
      <c r="I133" s="14">
        <v>1</v>
      </c>
      <c r="J133" s="16" t="s">
        <v>139</v>
      </c>
      <c r="K133" s="16" t="s">
        <v>36</v>
      </c>
      <c r="L133" s="16"/>
      <c r="M133" s="16" t="str">
        <f>IF(L133="","",H133*L133)</f>
        <v>0</v>
      </c>
    </row>
    <row r="134" spans="1:13">
      <c r="A134" s="15" t="s">
        <v>388</v>
      </c>
      <c r="B134" s="16" t="s">
        <v>389</v>
      </c>
      <c r="C134" s="17" t="s">
        <v>32</v>
      </c>
      <c r="D134" s="16" t="s">
        <v>29</v>
      </c>
      <c r="E134" s="16" t="s">
        <v>390</v>
      </c>
      <c r="F134" s="16" t="s">
        <v>212</v>
      </c>
      <c r="G134" s="18">
        <v>35700</v>
      </c>
      <c r="H134" s="19" t="str">
        <f>ROUND((35700/100*(100-M16)),0)</f>
        <v>0</v>
      </c>
      <c r="I134" s="14">
        <v>1</v>
      </c>
      <c r="J134" s="16" t="s">
        <v>139</v>
      </c>
      <c r="K134" s="16" t="s">
        <v>36</v>
      </c>
      <c r="L134" s="16"/>
      <c r="M134" s="16" t="str">
        <f>IF(L134="","",H134*L134)</f>
        <v>0</v>
      </c>
    </row>
    <row r="135" spans="1:13">
      <c r="A135" s="15" t="s">
        <v>391</v>
      </c>
      <c r="B135" s="16" t="s">
        <v>392</v>
      </c>
      <c r="C135" s="17" t="s">
        <v>32</v>
      </c>
      <c r="D135" s="16" t="s">
        <v>29</v>
      </c>
      <c r="E135" s="16" t="s">
        <v>393</v>
      </c>
      <c r="F135" s="16" t="s">
        <v>212</v>
      </c>
      <c r="G135" s="18">
        <v>50400</v>
      </c>
      <c r="H135" s="19" t="str">
        <f>ROUND((50400/100*(100-M16)),0)</f>
        <v>0</v>
      </c>
      <c r="I135" s="14">
        <v>1</v>
      </c>
      <c r="J135" s="16" t="s">
        <v>139</v>
      </c>
      <c r="K135" s="16" t="s">
        <v>36</v>
      </c>
      <c r="L135" s="16"/>
      <c r="M135" s="16" t="str">
        <f>IF(L135="","",H135*L135)</f>
        <v>0</v>
      </c>
    </row>
    <row r="136" spans="1:13">
      <c r="A136" s="15" t="s">
        <v>394</v>
      </c>
      <c r="B136" s="16" t="s">
        <v>395</v>
      </c>
      <c r="C136" s="17" t="s">
        <v>32</v>
      </c>
      <c r="D136" s="16" t="s">
        <v>29</v>
      </c>
      <c r="E136" s="16" t="s">
        <v>396</v>
      </c>
      <c r="F136" s="16" t="s">
        <v>212</v>
      </c>
      <c r="G136" s="18">
        <v>53600</v>
      </c>
      <c r="H136" s="19" t="str">
        <f>ROUND((53600/100*(100-M16)),0)</f>
        <v>0</v>
      </c>
      <c r="I136" s="14">
        <v>1</v>
      </c>
      <c r="J136" s="16" t="s">
        <v>139</v>
      </c>
      <c r="K136" s="16" t="s">
        <v>36</v>
      </c>
      <c r="L136" s="16"/>
      <c r="M136" s="16" t="str">
        <f>IF(L136="","",H136*L136)</f>
        <v>0</v>
      </c>
    </row>
    <row r="137" spans="1:13">
      <c r="A137" s="15" t="s">
        <v>397</v>
      </c>
      <c r="B137" s="16" t="s">
        <v>398</v>
      </c>
      <c r="C137" s="17" t="s">
        <v>32</v>
      </c>
      <c r="D137" s="16" t="s">
        <v>29</v>
      </c>
      <c r="E137" s="16" t="s">
        <v>399</v>
      </c>
      <c r="F137" s="16" t="s">
        <v>212</v>
      </c>
      <c r="G137" s="18">
        <v>71700</v>
      </c>
      <c r="H137" s="19" t="str">
        <f>ROUND((71700/100*(100-M16)),0)</f>
        <v>0</v>
      </c>
      <c r="I137" s="14">
        <v>1</v>
      </c>
      <c r="J137" s="16" t="s">
        <v>139</v>
      </c>
      <c r="K137" s="16" t="s">
        <v>36</v>
      </c>
      <c r="L137" s="16"/>
      <c r="M137" s="16" t="str">
        <f>IF(L137="","",H137*L137)</f>
        <v>0</v>
      </c>
    </row>
    <row r="138" spans="1:13">
      <c r="A138" s="15" t="s">
        <v>400</v>
      </c>
      <c r="B138" s="16" t="s">
        <v>401</v>
      </c>
      <c r="C138" s="17" t="s">
        <v>32</v>
      </c>
      <c r="D138" s="16" t="s">
        <v>29</v>
      </c>
      <c r="E138" s="16" t="s">
        <v>402</v>
      </c>
      <c r="F138" s="16" t="s">
        <v>212</v>
      </c>
      <c r="G138" s="18">
        <v>102500</v>
      </c>
      <c r="H138" s="19" t="str">
        <f>ROUND((102500/100*(100-M16)),0)</f>
        <v>0</v>
      </c>
      <c r="I138" s="14">
        <v>1</v>
      </c>
      <c r="J138" s="16" t="s">
        <v>139</v>
      </c>
      <c r="K138" s="16" t="s">
        <v>36</v>
      </c>
      <c r="L138" s="16"/>
      <c r="M138" s="16" t="str">
        <f>IF(L138="","",H138*L138)</f>
        <v>0</v>
      </c>
    </row>
    <row r="139" spans="1:13">
      <c r="A139" s="15" t="s">
        <v>403</v>
      </c>
      <c r="B139" s="16" t="s">
        <v>404</v>
      </c>
      <c r="C139" s="17" t="s">
        <v>32</v>
      </c>
      <c r="D139" s="16" t="s">
        <v>29</v>
      </c>
      <c r="E139" s="16" t="s">
        <v>405</v>
      </c>
      <c r="F139" s="16" t="s">
        <v>212</v>
      </c>
      <c r="G139" s="18">
        <v>7200</v>
      </c>
      <c r="H139" s="19" t="str">
        <f>ROUND((7200/100*(100-M16)),0)</f>
        <v>0</v>
      </c>
      <c r="I139" s="14">
        <v>4</v>
      </c>
      <c r="J139" s="16" t="s">
        <v>119</v>
      </c>
      <c r="K139" s="16" t="s">
        <v>36</v>
      </c>
      <c r="L139" s="16"/>
      <c r="M139" s="16" t="str">
        <f>IF(L139="","",H139*L139)</f>
        <v>0</v>
      </c>
    </row>
    <row r="140" spans="1:13">
      <c r="A140" s="15" t="s">
        <v>406</v>
      </c>
      <c r="B140" s="16" t="s">
        <v>407</v>
      </c>
      <c r="C140" s="17" t="s">
        <v>32</v>
      </c>
      <c r="D140" s="16" t="s">
        <v>29</v>
      </c>
      <c r="E140" s="16" t="s">
        <v>408</v>
      </c>
      <c r="F140" s="16" t="s">
        <v>212</v>
      </c>
      <c r="G140" s="18">
        <v>9500</v>
      </c>
      <c r="H140" s="19" t="str">
        <f>ROUND((9500/100*(100-M16)),0)</f>
        <v>0</v>
      </c>
      <c r="I140" s="14">
        <v>3</v>
      </c>
      <c r="J140" s="16" t="s">
        <v>409</v>
      </c>
      <c r="K140" s="16" t="s">
        <v>36</v>
      </c>
      <c r="L140" s="16"/>
      <c r="M140" s="16" t="str">
        <f>IF(L140="","",H140*L140)</f>
        <v>0</v>
      </c>
    </row>
    <row r="141" spans="1:13">
      <c r="A141" s="15" t="s">
        <v>410</v>
      </c>
      <c r="B141" s="16" t="s">
        <v>411</v>
      </c>
      <c r="C141" s="17" t="s">
        <v>32</v>
      </c>
      <c r="D141" s="16" t="s">
        <v>29</v>
      </c>
      <c r="E141" s="16" t="s">
        <v>412</v>
      </c>
      <c r="F141" s="16" t="s">
        <v>212</v>
      </c>
      <c r="G141" s="18">
        <v>23100</v>
      </c>
      <c r="H141" s="19" t="str">
        <f>ROUND((23100/100*(100-M16)),0)</f>
        <v>0</v>
      </c>
      <c r="I141" s="14">
        <v>1</v>
      </c>
      <c r="J141" s="16" t="s">
        <v>139</v>
      </c>
      <c r="K141" s="16" t="s">
        <v>36</v>
      </c>
      <c r="L141" s="16"/>
      <c r="M141" s="16" t="str">
        <f>IF(L141="","",H141*L141)</f>
        <v>0</v>
      </c>
    </row>
    <row r="142" spans="1:13">
      <c r="A142" s="15" t="s">
        <v>413</v>
      </c>
      <c r="B142" s="16" t="s">
        <v>414</v>
      </c>
      <c r="C142" s="17" t="s">
        <v>32</v>
      </c>
      <c r="D142" s="16" t="s">
        <v>29</v>
      </c>
      <c r="E142" s="16" t="s">
        <v>415</v>
      </c>
      <c r="F142" s="16" t="s">
        <v>212</v>
      </c>
      <c r="G142" s="18">
        <v>23100</v>
      </c>
      <c r="H142" s="19" t="str">
        <f>ROUND((23100/100*(100-M16)),0)</f>
        <v>0</v>
      </c>
      <c r="I142" s="14">
        <v>1</v>
      </c>
      <c r="J142" s="16" t="s">
        <v>139</v>
      </c>
      <c r="K142" s="16" t="s">
        <v>36</v>
      </c>
      <c r="L142" s="16"/>
      <c r="M142" s="16" t="str">
        <f>IF(L142="","",H142*L142)</f>
        <v>0</v>
      </c>
    </row>
    <row r="143" spans="1:13">
      <c r="A143" s="15" t="s">
        <v>416</v>
      </c>
      <c r="B143" s="16" t="s">
        <v>417</v>
      </c>
      <c r="C143" s="17" t="s">
        <v>32</v>
      </c>
      <c r="D143" s="16" t="s">
        <v>29</v>
      </c>
      <c r="E143" s="16" t="s">
        <v>418</v>
      </c>
      <c r="F143" s="16" t="s">
        <v>212</v>
      </c>
      <c r="G143" s="18">
        <v>42900</v>
      </c>
      <c r="H143" s="19" t="str">
        <f>ROUND((42900/100*(100-M16)),0)</f>
        <v>0</v>
      </c>
      <c r="I143" s="14">
        <v>1</v>
      </c>
      <c r="J143" s="16" t="s">
        <v>139</v>
      </c>
      <c r="K143" s="16" t="s">
        <v>36</v>
      </c>
      <c r="L143" s="16"/>
      <c r="M143" s="16" t="str">
        <f>IF(L143="","",H143*L143)</f>
        <v>0</v>
      </c>
    </row>
    <row r="144" spans="1:13">
      <c r="A144" s="15" t="s">
        <v>419</v>
      </c>
      <c r="B144" s="16" t="s">
        <v>420</v>
      </c>
      <c r="C144" s="17" t="s">
        <v>32</v>
      </c>
      <c r="D144" s="16" t="s">
        <v>29</v>
      </c>
      <c r="E144" s="16" t="s">
        <v>421</v>
      </c>
      <c r="F144" s="16" t="s">
        <v>212</v>
      </c>
      <c r="G144" s="18">
        <v>33600</v>
      </c>
      <c r="H144" s="19" t="str">
        <f>ROUND((33600/100*(100-M16)),0)</f>
        <v>0</v>
      </c>
      <c r="I144" s="14">
        <v>1</v>
      </c>
      <c r="J144" s="16" t="s">
        <v>139</v>
      </c>
      <c r="K144" s="16" t="s">
        <v>36</v>
      </c>
      <c r="L144" s="16"/>
      <c r="M144" s="16" t="str">
        <f>IF(L144="","",H144*L144)</f>
        <v>0</v>
      </c>
    </row>
    <row r="145" spans="1:13">
      <c r="A145" s="15" t="s">
        <v>422</v>
      </c>
      <c r="B145" s="16" t="s">
        <v>423</v>
      </c>
      <c r="C145" s="17" t="s">
        <v>32</v>
      </c>
      <c r="D145" s="16" t="s">
        <v>29</v>
      </c>
      <c r="E145" s="16" t="s">
        <v>424</v>
      </c>
      <c r="F145" s="16" t="s">
        <v>212</v>
      </c>
      <c r="G145" s="18">
        <v>18800</v>
      </c>
      <c r="H145" s="19" t="str">
        <f>ROUND((18800/100*(100-M16)),0)</f>
        <v>0</v>
      </c>
      <c r="I145" s="14">
        <v>2</v>
      </c>
      <c r="J145" s="16" t="s">
        <v>129</v>
      </c>
      <c r="K145" s="16" t="s">
        <v>36</v>
      </c>
      <c r="L145" s="16"/>
      <c r="M145" s="16" t="str">
        <f>IF(L145="","",H145*L145)</f>
        <v>0</v>
      </c>
    </row>
    <row r="146" spans="1:13">
      <c r="A146" s="15" t="s">
        <v>425</v>
      </c>
      <c r="B146" s="16" t="s">
        <v>426</v>
      </c>
      <c r="C146" s="17" t="s">
        <v>32</v>
      </c>
      <c r="D146" s="16" t="s">
        <v>29</v>
      </c>
      <c r="E146" s="16" t="s">
        <v>427</v>
      </c>
      <c r="F146" s="16" t="s">
        <v>428</v>
      </c>
      <c r="G146" s="18">
        <v>2070</v>
      </c>
      <c r="H146" s="19" t="str">
        <f>ROUND((2070/100*(100-M16)),0)</f>
        <v>0</v>
      </c>
      <c r="I146" s="14">
        <v>8</v>
      </c>
      <c r="J146" s="16" t="s">
        <v>62</v>
      </c>
      <c r="K146" s="16" t="s">
        <v>36</v>
      </c>
      <c r="L146" s="16"/>
      <c r="M146" s="16" t="str">
        <f>IF(L146="","",H146*L146)</f>
        <v>0</v>
      </c>
    </row>
    <row r="147" spans="1:13">
      <c r="A147" s="15" t="s">
        <v>429</v>
      </c>
      <c r="B147" s="16" t="s">
        <v>430</v>
      </c>
      <c r="C147" s="17" t="s">
        <v>32</v>
      </c>
      <c r="D147" s="16" t="s">
        <v>29</v>
      </c>
      <c r="E147" s="16" t="s">
        <v>431</v>
      </c>
      <c r="F147" s="16" t="s">
        <v>428</v>
      </c>
      <c r="G147" s="18">
        <v>2692</v>
      </c>
      <c r="H147" s="19" t="str">
        <f>ROUND((2692/100*(100-M16)),0)</f>
        <v>0</v>
      </c>
      <c r="I147" s="14">
        <v>8</v>
      </c>
      <c r="J147" s="16" t="s">
        <v>47</v>
      </c>
      <c r="K147" s="16" t="s">
        <v>36</v>
      </c>
      <c r="L147" s="16"/>
      <c r="M147" s="16" t="str">
        <f>IF(L147="","",H147*L147)</f>
        <v>0</v>
      </c>
    </row>
    <row r="148" spans="1:13">
      <c r="A148" s="15" t="s">
        <v>432</v>
      </c>
      <c r="B148" s="16" t="s">
        <v>433</v>
      </c>
      <c r="C148" s="17" t="s">
        <v>32</v>
      </c>
      <c r="D148" s="16" t="s">
        <v>29</v>
      </c>
      <c r="E148" s="16" t="s">
        <v>434</v>
      </c>
      <c r="F148" s="16" t="s">
        <v>428</v>
      </c>
      <c r="G148" s="18">
        <v>3460</v>
      </c>
      <c r="H148" s="19" t="str">
        <f>ROUND((3460/100*(100-M16)),0)</f>
        <v>0</v>
      </c>
      <c r="I148" s="14">
        <v>1</v>
      </c>
      <c r="J148" s="16" t="s">
        <v>69</v>
      </c>
      <c r="K148" s="16" t="s">
        <v>36</v>
      </c>
      <c r="L148" s="16"/>
      <c r="M148" s="16" t="str">
        <f>IF(L148="","",H148*L148)</f>
        <v>0</v>
      </c>
    </row>
    <row r="149" spans="1:13">
      <c r="A149" s="15" t="s">
        <v>435</v>
      </c>
      <c r="B149" s="16" t="s">
        <v>436</v>
      </c>
      <c r="C149" s="17" t="s">
        <v>32</v>
      </c>
      <c r="D149" s="16" t="s">
        <v>29</v>
      </c>
      <c r="E149" s="16" t="s">
        <v>437</v>
      </c>
      <c r="F149" s="16" t="s">
        <v>428</v>
      </c>
      <c r="G149" s="18">
        <v>8310</v>
      </c>
      <c r="H149" s="19" t="str">
        <f>ROUND((8310/100*(100-M16)),0)</f>
        <v>0</v>
      </c>
      <c r="I149" s="14">
        <v>13</v>
      </c>
      <c r="J149" s="16" t="s">
        <v>119</v>
      </c>
      <c r="K149" s="16" t="s">
        <v>36</v>
      </c>
      <c r="L149" s="16"/>
      <c r="M149" s="16" t="str">
        <f>IF(L149="","",H149*L149)</f>
        <v>0</v>
      </c>
    </row>
    <row r="150" spans="1:13">
      <c r="A150" s="15" t="s">
        <v>438</v>
      </c>
      <c r="B150" s="16" t="s">
        <v>439</v>
      </c>
      <c r="C150" s="17" t="s">
        <v>32</v>
      </c>
      <c r="D150" s="16" t="s">
        <v>29</v>
      </c>
      <c r="E150" s="16" t="s">
        <v>440</v>
      </c>
      <c r="F150" s="16" t="s">
        <v>428</v>
      </c>
      <c r="G150" s="18">
        <v>2016</v>
      </c>
      <c r="H150" s="19" t="str">
        <f>ROUND((2016/100*(100-M16)),0)</f>
        <v>0</v>
      </c>
      <c r="I150" s="14">
        <v>13</v>
      </c>
      <c r="J150" s="16" t="s">
        <v>62</v>
      </c>
      <c r="K150" s="16" t="s">
        <v>36</v>
      </c>
      <c r="L150" s="16"/>
      <c r="M150" s="16" t="str">
        <f>IF(L150="","",H150*L150)</f>
        <v>0</v>
      </c>
    </row>
    <row r="151" spans="1:13">
      <c r="A151" s="15" t="s">
        <v>441</v>
      </c>
      <c r="B151" s="16" t="s">
        <v>442</v>
      </c>
      <c r="C151" s="17" t="s">
        <v>32</v>
      </c>
      <c r="D151" s="16" t="s">
        <v>29</v>
      </c>
      <c r="E151" s="16" t="s">
        <v>443</v>
      </c>
      <c r="F151" s="16" t="s">
        <v>428</v>
      </c>
      <c r="G151" s="18">
        <v>2430</v>
      </c>
      <c r="H151" s="19" t="str">
        <f>ROUND((2430/100*(100-M16)),0)</f>
        <v>0</v>
      </c>
      <c r="I151" s="14">
        <v>6</v>
      </c>
      <c r="J151" s="16" t="s">
        <v>62</v>
      </c>
      <c r="K151" s="16" t="s">
        <v>36</v>
      </c>
      <c r="L151" s="16"/>
      <c r="M151" s="16" t="str">
        <f>IF(L151="","",H151*L151)</f>
        <v>0</v>
      </c>
    </row>
    <row r="152" spans="1:13">
      <c r="A152" s="15" t="s">
        <v>444</v>
      </c>
      <c r="B152" s="16" t="s">
        <v>445</v>
      </c>
      <c r="C152" s="17" t="s">
        <v>32</v>
      </c>
      <c r="D152" s="16" t="s">
        <v>29</v>
      </c>
      <c r="E152" s="16" t="s">
        <v>446</v>
      </c>
      <c r="F152" s="16" t="s">
        <v>428</v>
      </c>
      <c r="G152" s="18">
        <v>2755</v>
      </c>
      <c r="H152" s="19" t="str">
        <f>ROUND((2755/100*(100-M16)),0)</f>
        <v>0</v>
      </c>
      <c r="I152" s="14">
        <v>2</v>
      </c>
      <c r="J152" s="16" t="s">
        <v>62</v>
      </c>
      <c r="K152" s="16" t="s">
        <v>36</v>
      </c>
      <c r="L152" s="16"/>
      <c r="M152" s="16" t="str">
        <f>IF(L152="","",H152*L152)</f>
        <v>0</v>
      </c>
    </row>
    <row r="153" spans="1:13">
      <c r="A153" s="15" t="s">
        <v>447</v>
      </c>
      <c r="B153" s="16" t="s">
        <v>448</v>
      </c>
      <c r="C153" s="17" t="s">
        <v>32</v>
      </c>
      <c r="D153" s="16" t="s">
        <v>29</v>
      </c>
      <c r="E153" s="16" t="s">
        <v>449</v>
      </c>
      <c r="F153" s="16" t="s">
        <v>428</v>
      </c>
      <c r="G153" s="18">
        <v>5545</v>
      </c>
      <c r="H153" s="19" t="str">
        <f>ROUND((5545/100*(100-M16)),0)</f>
        <v>0</v>
      </c>
      <c r="I153" s="14">
        <v>1</v>
      </c>
      <c r="J153" s="16" t="s">
        <v>119</v>
      </c>
      <c r="K153" s="16" t="s">
        <v>36</v>
      </c>
      <c r="L153" s="16"/>
      <c r="M153" s="16" t="str">
        <f>IF(L153="","",H153*L153)</f>
        <v>0</v>
      </c>
    </row>
    <row r="154" spans="1:13">
      <c r="A154" s="15" t="s">
        <v>450</v>
      </c>
      <c r="B154" s="16" t="s">
        <v>451</v>
      </c>
      <c r="C154" s="17" t="s">
        <v>32</v>
      </c>
      <c r="D154" s="16" t="s">
        <v>29</v>
      </c>
      <c r="E154" s="16" t="s">
        <v>452</v>
      </c>
      <c r="F154" s="16" t="s">
        <v>428</v>
      </c>
      <c r="G154" s="18">
        <v>13590</v>
      </c>
      <c r="H154" s="19" t="str">
        <f>ROUND((13590/100*(100-M16)),0)</f>
        <v>0</v>
      </c>
      <c r="I154" s="14">
        <v>4</v>
      </c>
      <c r="J154" s="16" t="s">
        <v>129</v>
      </c>
      <c r="K154" s="16" t="s">
        <v>36</v>
      </c>
      <c r="L154" s="16"/>
      <c r="M154" s="16" t="str">
        <f>IF(L154="","",H154*L154)</f>
        <v>0</v>
      </c>
    </row>
    <row r="155" spans="1:13">
      <c r="A155" s="15" t="s">
        <v>453</v>
      </c>
      <c r="B155" s="16" t="s">
        <v>454</v>
      </c>
      <c r="C155" s="17" t="s">
        <v>32</v>
      </c>
      <c r="D155" s="16" t="s">
        <v>29</v>
      </c>
      <c r="E155" s="16" t="s">
        <v>455</v>
      </c>
      <c r="F155" s="16" t="s">
        <v>428</v>
      </c>
      <c r="G155" s="18">
        <v>10660</v>
      </c>
      <c r="H155" s="19" t="str">
        <f>ROUND((10660/100*(100-M16)),0)</f>
        <v>0</v>
      </c>
      <c r="I155" s="14">
        <v>1</v>
      </c>
      <c r="J155" s="16" t="s">
        <v>129</v>
      </c>
      <c r="K155" s="16" t="s">
        <v>36</v>
      </c>
      <c r="L155" s="16"/>
      <c r="M155" s="16" t="str">
        <f>IF(L155="","",H155*L155)</f>
        <v>0</v>
      </c>
    </row>
    <row r="156" spans="1:13">
      <c r="A156" s="15" t="s">
        <v>456</v>
      </c>
      <c r="B156" s="16" t="s">
        <v>457</v>
      </c>
      <c r="C156" s="17" t="s">
        <v>32</v>
      </c>
      <c r="D156" s="16" t="s">
        <v>29</v>
      </c>
      <c r="E156" s="16" t="s">
        <v>458</v>
      </c>
      <c r="F156" s="16" t="s">
        <v>428</v>
      </c>
      <c r="G156" s="18">
        <v>12250</v>
      </c>
      <c r="H156" s="19" t="str">
        <f>ROUND((12250/100*(100-M16)),0)</f>
        <v>0</v>
      </c>
      <c r="I156" s="14">
        <v>4</v>
      </c>
      <c r="J156" s="16" t="s">
        <v>129</v>
      </c>
      <c r="K156" s="16" t="s">
        <v>36</v>
      </c>
      <c r="L156" s="16"/>
      <c r="M156" s="16" t="str">
        <f>IF(L156="","",H156*L156)</f>
        <v>0</v>
      </c>
    </row>
    <row r="157" spans="1:13">
      <c r="A157" s="15" t="s">
        <v>459</v>
      </c>
      <c r="B157" s="16" t="s">
        <v>460</v>
      </c>
      <c r="C157" s="17" t="s">
        <v>32</v>
      </c>
      <c r="D157" s="16" t="s">
        <v>29</v>
      </c>
      <c r="E157" s="16" t="s">
        <v>461</v>
      </c>
      <c r="F157" s="16" t="s">
        <v>428</v>
      </c>
      <c r="G157" s="18">
        <v>20250</v>
      </c>
      <c r="H157" s="19" t="str">
        <f>ROUND((20250/100*(100-M16)),0)</f>
        <v>0</v>
      </c>
      <c r="I157" s="14">
        <v>1</v>
      </c>
      <c r="J157" s="16" t="s">
        <v>139</v>
      </c>
      <c r="K157" s="16" t="s">
        <v>36</v>
      </c>
      <c r="L157" s="16"/>
      <c r="M157" s="16" t="str">
        <f>IF(L157="","",H157*L157)</f>
        <v>0</v>
      </c>
    </row>
    <row r="158" spans="1:13">
      <c r="A158" s="15" t="s">
        <v>462</v>
      </c>
      <c r="B158" s="16" t="s">
        <v>463</v>
      </c>
      <c r="C158" s="17" t="s">
        <v>32</v>
      </c>
      <c r="D158" s="16" t="s">
        <v>29</v>
      </c>
      <c r="E158" s="16" t="s">
        <v>464</v>
      </c>
      <c r="F158" s="16" t="s">
        <v>465</v>
      </c>
      <c r="G158" s="18">
        <v>2090</v>
      </c>
      <c r="H158" s="19" t="str">
        <f>ROUND((2090/100*(100-M16)),0)</f>
        <v>0</v>
      </c>
      <c r="I158" s="14">
        <v>18</v>
      </c>
      <c r="J158" s="16" t="s">
        <v>51</v>
      </c>
      <c r="K158" s="16" t="s">
        <v>36</v>
      </c>
      <c r="L158" s="16"/>
      <c r="M158" s="16" t="str">
        <f>IF(L158="","",H158*L158)</f>
        <v>0</v>
      </c>
    </row>
    <row r="159" spans="1:13">
      <c r="A159" s="15" t="s">
        <v>466</v>
      </c>
      <c r="B159" s="16" t="s">
        <v>467</v>
      </c>
      <c r="C159" s="17" t="s">
        <v>32</v>
      </c>
      <c r="D159" s="16" t="s">
        <v>29</v>
      </c>
      <c r="E159" s="16" t="s">
        <v>468</v>
      </c>
      <c r="F159" s="16" t="s">
        <v>465</v>
      </c>
      <c r="G159" s="18">
        <v>5240</v>
      </c>
      <c r="H159" s="19" t="str">
        <f>ROUND((5240/100*(100-M16)),0)</f>
        <v>0</v>
      </c>
      <c r="I159" s="14">
        <v>22</v>
      </c>
      <c r="J159" s="16" t="s">
        <v>69</v>
      </c>
      <c r="K159" s="16" t="s">
        <v>36</v>
      </c>
      <c r="L159" s="16"/>
      <c r="M159" s="16" t="str">
        <f>IF(L159="","",H159*L159)</f>
        <v>0</v>
      </c>
    </row>
    <row r="160" spans="1:13">
      <c r="A160" s="15" t="s">
        <v>469</v>
      </c>
      <c r="B160" s="16" t="s">
        <v>470</v>
      </c>
      <c r="C160" s="17" t="s">
        <v>32</v>
      </c>
      <c r="D160" s="16" t="s">
        <v>29</v>
      </c>
      <c r="E160" s="16" t="s">
        <v>471</v>
      </c>
      <c r="F160" s="16" t="s">
        <v>465</v>
      </c>
      <c r="G160" s="18">
        <v>1210</v>
      </c>
      <c r="H160" s="19" t="str">
        <f>ROUND((1210/100*(100-M16)),0)</f>
        <v>0</v>
      </c>
      <c r="I160" s="14">
        <v>13</v>
      </c>
      <c r="J160" s="16" t="s">
        <v>43</v>
      </c>
      <c r="K160" s="16" t="s">
        <v>36</v>
      </c>
      <c r="L160" s="16"/>
      <c r="M160" s="16" t="str">
        <f>IF(L160="","",H160*L160)</f>
        <v>0</v>
      </c>
    </row>
    <row r="161" spans="1:13">
      <c r="A161" s="15" t="s">
        <v>472</v>
      </c>
      <c r="B161" s="16" t="s">
        <v>473</v>
      </c>
      <c r="C161" s="17" t="s">
        <v>32</v>
      </c>
      <c r="D161" s="16" t="s">
        <v>29</v>
      </c>
      <c r="E161" s="16" t="s">
        <v>474</v>
      </c>
      <c r="F161" s="16" t="s">
        <v>465</v>
      </c>
      <c r="G161" s="18">
        <v>1210</v>
      </c>
      <c r="H161" s="19" t="str">
        <f>ROUND((1210/100*(100-M16)),0)</f>
        <v>0</v>
      </c>
      <c r="I161" s="14">
        <v>2</v>
      </c>
      <c r="J161" s="16" t="s">
        <v>43</v>
      </c>
      <c r="K161" s="16" t="s">
        <v>36</v>
      </c>
      <c r="L161" s="16"/>
      <c r="M161" s="16" t="str">
        <f>IF(L161="","",H161*L161)</f>
        <v>0</v>
      </c>
    </row>
    <row r="162" spans="1:13">
      <c r="A162" s="15" t="s">
        <v>475</v>
      </c>
      <c r="B162" s="16" t="s">
        <v>476</v>
      </c>
      <c r="C162" s="17" t="s">
        <v>32</v>
      </c>
      <c r="D162" s="16" t="s">
        <v>29</v>
      </c>
      <c r="E162" s="16" t="s">
        <v>477</v>
      </c>
      <c r="F162" s="16" t="s">
        <v>465</v>
      </c>
      <c r="G162" s="18">
        <v>1565</v>
      </c>
      <c r="H162" s="19" t="str">
        <f>ROUND((1565/100*(100-M16)),0)</f>
        <v>0</v>
      </c>
      <c r="I162" s="14">
        <v>9</v>
      </c>
      <c r="J162" s="16" t="s">
        <v>43</v>
      </c>
      <c r="K162" s="16" t="s">
        <v>36</v>
      </c>
      <c r="L162" s="16"/>
      <c r="M162" s="16" t="str">
        <f>IF(L162="","",H162*L162)</f>
        <v>0</v>
      </c>
    </row>
    <row r="163" spans="1:13">
      <c r="A163" s="15" t="s">
        <v>478</v>
      </c>
      <c r="B163" s="16" t="s">
        <v>479</v>
      </c>
      <c r="C163" s="17" t="s">
        <v>32</v>
      </c>
      <c r="D163" s="16" t="s">
        <v>29</v>
      </c>
      <c r="E163" s="16" t="s">
        <v>480</v>
      </c>
      <c r="F163" s="16" t="s">
        <v>465</v>
      </c>
      <c r="G163" s="18">
        <v>1465</v>
      </c>
      <c r="H163" s="19" t="str">
        <f>ROUND((1465/100*(100-M16)),0)</f>
        <v>0</v>
      </c>
      <c r="I163" s="14">
        <v>24</v>
      </c>
      <c r="J163" s="16" t="s">
        <v>43</v>
      </c>
      <c r="K163" s="16" t="s">
        <v>36</v>
      </c>
      <c r="L163" s="16"/>
      <c r="M163" s="16" t="str">
        <f>IF(L163="","",H163*L163)</f>
        <v>0</v>
      </c>
    </row>
    <row r="164" spans="1:13">
      <c r="A164" s="15" t="s">
        <v>481</v>
      </c>
      <c r="B164" s="16" t="s">
        <v>482</v>
      </c>
      <c r="C164" s="17" t="s">
        <v>32</v>
      </c>
      <c r="D164" s="16" t="s">
        <v>29</v>
      </c>
      <c r="E164" s="16" t="s">
        <v>483</v>
      </c>
      <c r="F164" s="16" t="s">
        <v>465</v>
      </c>
      <c r="G164" s="18">
        <v>1495</v>
      </c>
      <c r="H164" s="19" t="str">
        <f>ROUND((1495/100*(100-M16)),0)</f>
        <v>0</v>
      </c>
      <c r="I164" s="14">
        <v>1</v>
      </c>
      <c r="J164" s="16" t="s">
        <v>62</v>
      </c>
      <c r="K164" s="16" t="s">
        <v>36</v>
      </c>
      <c r="L164" s="16"/>
      <c r="M164" s="16" t="str">
        <f>IF(L164="","",H164*L164)</f>
        <v>0</v>
      </c>
    </row>
    <row r="165" spans="1:13">
      <c r="A165" s="15" t="s">
        <v>484</v>
      </c>
      <c r="B165" s="16" t="s">
        <v>485</v>
      </c>
      <c r="C165" s="17" t="s">
        <v>32</v>
      </c>
      <c r="D165" s="16" t="s">
        <v>29</v>
      </c>
      <c r="E165" s="16" t="s">
        <v>486</v>
      </c>
      <c r="F165" s="16" t="s">
        <v>465</v>
      </c>
      <c r="G165" s="18">
        <v>1785</v>
      </c>
      <c r="H165" s="19" t="str">
        <f>ROUND((1785/100*(100-M16)),0)</f>
        <v>0</v>
      </c>
      <c r="I165" s="14">
        <v>19</v>
      </c>
      <c r="J165" s="16" t="s">
        <v>62</v>
      </c>
      <c r="K165" s="16" t="s">
        <v>36</v>
      </c>
      <c r="L165" s="16"/>
      <c r="M165" s="16" t="str">
        <f>IF(L165="","",H165*L165)</f>
        <v>0</v>
      </c>
    </row>
    <row r="166" spans="1:13">
      <c r="A166" s="15" t="s">
        <v>487</v>
      </c>
      <c r="B166" s="16" t="s">
        <v>488</v>
      </c>
      <c r="C166" s="17" t="s">
        <v>32</v>
      </c>
      <c r="D166" s="16" t="s">
        <v>29</v>
      </c>
      <c r="E166" s="16" t="s">
        <v>489</v>
      </c>
      <c r="F166" s="16" t="s">
        <v>465</v>
      </c>
      <c r="G166" s="18">
        <v>1890</v>
      </c>
      <c r="H166" s="19" t="str">
        <f>ROUND((1890/100*(100-M16)),0)</f>
        <v>0</v>
      </c>
      <c r="I166" s="14">
        <v>16</v>
      </c>
      <c r="J166" s="16" t="s">
        <v>58</v>
      </c>
      <c r="K166" s="16" t="s">
        <v>36</v>
      </c>
      <c r="L166" s="16"/>
      <c r="M166" s="16" t="str">
        <f>IF(L166="","",H166*L166)</f>
        <v>0</v>
      </c>
    </row>
    <row r="167" spans="1:13">
      <c r="A167" s="15" t="s">
        <v>490</v>
      </c>
      <c r="B167" s="16" t="s">
        <v>491</v>
      </c>
      <c r="C167" s="17" t="s">
        <v>32</v>
      </c>
      <c r="D167" s="16" t="s">
        <v>29</v>
      </c>
      <c r="E167" s="16" t="s">
        <v>492</v>
      </c>
      <c r="F167" s="16" t="s">
        <v>465</v>
      </c>
      <c r="G167" s="18">
        <v>1890</v>
      </c>
      <c r="H167" s="19" t="str">
        <f>ROUND((1890/100*(100-M16)),0)</f>
        <v>0</v>
      </c>
      <c r="I167" s="14">
        <v>3</v>
      </c>
      <c r="J167" s="16" t="s">
        <v>58</v>
      </c>
      <c r="K167" s="16" t="s">
        <v>36</v>
      </c>
      <c r="L167" s="16"/>
      <c r="M167" s="16" t="str">
        <f>IF(L167="","",H167*L167)</f>
        <v>0</v>
      </c>
    </row>
    <row r="168" spans="1:13">
      <c r="A168" s="15" t="s">
        <v>493</v>
      </c>
      <c r="B168" s="16" t="s">
        <v>494</v>
      </c>
      <c r="C168" s="17" t="s">
        <v>32</v>
      </c>
      <c r="D168" s="16" t="s">
        <v>29</v>
      </c>
      <c r="E168" s="16" t="s">
        <v>495</v>
      </c>
      <c r="F168" s="16" t="s">
        <v>465</v>
      </c>
      <c r="G168" s="18">
        <v>3100</v>
      </c>
      <c r="H168" s="19" t="str">
        <f>ROUND((3100/100*(100-M16)),0)</f>
        <v>0</v>
      </c>
      <c r="I168" s="14">
        <v>5</v>
      </c>
      <c r="J168" s="16" t="s">
        <v>47</v>
      </c>
      <c r="K168" s="16" t="s">
        <v>36</v>
      </c>
      <c r="L168" s="16"/>
      <c r="M168" s="16" t="str">
        <f>IF(L168="","",H168*L168)</f>
        <v>0</v>
      </c>
    </row>
    <row r="169" spans="1:13">
      <c r="A169" s="15" t="s">
        <v>496</v>
      </c>
      <c r="B169" s="16" t="s">
        <v>497</v>
      </c>
      <c r="C169" s="17" t="s">
        <v>32</v>
      </c>
      <c r="D169" s="16" t="s">
        <v>29</v>
      </c>
      <c r="E169" s="16" t="s">
        <v>498</v>
      </c>
      <c r="F169" s="16" t="s">
        <v>465</v>
      </c>
      <c r="G169" s="18">
        <v>3100</v>
      </c>
      <c r="H169" s="19" t="str">
        <f>ROUND((3100/100*(100-M16)),0)</f>
        <v>0</v>
      </c>
      <c r="I169" s="14">
        <v>13</v>
      </c>
      <c r="J169" s="16" t="s">
        <v>47</v>
      </c>
      <c r="K169" s="16" t="s">
        <v>36</v>
      </c>
      <c r="L169" s="16"/>
      <c r="M169" s="16" t="str">
        <f>IF(L169="","",H169*L169)</f>
        <v>0</v>
      </c>
    </row>
    <row r="170" spans="1:13">
      <c r="A170" s="15" t="s">
        <v>499</v>
      </c>
      <c r="B170" s="16" t="s">
        <v>500</v>
      </c>
      <c r="C170" s="17" t="s">
        <v>32</v>
      </c>
      <c r="D170" s="16" t="s">
        <v>29</v>
      </c>
      <c r="E170" s="16" t="s">
        <v>501</v>
      </c>
      <c r="F170" s="16" t="s">
        <v>465</v>
      </c>
      <c r="G170" s="18">
        <v>2650</v>
      </c>
      <c r="H170" s="19" t="str">
        <f>ROUND((2650/100*(100-M16)),0)</f>
        <v>0</v>
      </c>
      <c r="I170" s="14">
        <v>8</v>
      </c>
      <c r="J170" s="16" t="s">
        <v>62</v>
      </c>
      <c r="K170" s="16" t="s">
        <v>36</v>
      </c>
      <c r="L170" s="16"/>
      <c r="M170" s="16" t="str">
        <f>IF(L170="","",H170*L170)</f>
        <v>0</v>
      </c>
    </row>
    <row r="171" spans="1:13">
      <c r="A171" s="15" t="s">
        <v>502</v>
      </c>
      <c r="B171" s="16" t="s">
        <v>503</v>
      </c>
      <c r="C171" s="17" t="s">
        <v>32</v>
      </c>
      <c r="D171" s="16" t="s">
        <v>29</v>
      </c>
      <c r="E171" s="16" t="s">
        <v>504</v>
      </c>
      <c r="F171" s="16" t="s">
        <v>465</v>
      </c>
      <c r="G171" s="18">
        <v>4240</v>
      </c>
      <c r="H171" s="19" t="str">
        <f>ROUND((4240/100*(100-M16)),0)</f>
        <v>0</v>
      </c>
      <c r="I171" s="14">
        <v>7</v>
      </c>
      <c r="J171" s="16" t="s">
        <v>119</v>
      </c>
      <c r="K171" s="16" t="s">
        <v>36</v>
      </c>
      <c r="L171" s="16"/>
      <c r="M171" s="16" t="str">
        <f>IF(L171="","",H171*L171)</f>
        <v>0</v>
      </c>
    </row>
    <row r="172" spans="1:13">
      <c r="A172" s="15" t="s">
        <v>505</v>
      </c>
      <c r="B172" s="16" t="s">
        <v>506</v>
      </c>
      <c r="C172" s="17" t="s">
        <v>32</v>
      </c>
      <c r="D172" s="16" t="s">
        <v>29</v>
      </c>
      <c r="E172" s="16" t="s">
        <v>507</v>
      </c>
      <c r="F172" s="16" t="s">
        <v>465</v>
      </c>
      <c r="G172" s="18">
        <v>3400</v>
      </c>
      <c r="H172" s="19" t="str">
        <f>ROUND((3400/100*(100-M16)),0)</f>
        <v>0</v>
      </c>
      <c r="I172" s="14">
        <v>12</v>
      </c>
      <c r="J172" s="16" t="s">
        <v>47</v>
      </c>
      <c r="K172" s="16" t="s">
        <v>36</v>
      </c>
      <c r="L172" s="16"/>
      <c r="M172" s="16" t="str">
        <f>IF(L172="","",H172*L172)</f>
        <v>0</v>
      </c>
    </row>
    <row r="173" spans="1:13">
      <c r="A173" s="15" t="s">
        <v>508</v>
      </c>
      <c r="B173" s="16" t="s">
        <v>509</v>
      </c>
      <c r="C173" s="17" t="s">
        <v>32</v>
      </c>
      <c r="D173" s="16" t="s">
        <v>29</v>
      </c>
      <c r="E173" s="16" t="s">
        <v>510</v>
      </c>
      <c r="F173" s="16" t="s">
        <v>465</v>
      </c>
      <c r="G173" s="18">
        <v>7400</v>
      </c>
      <c r="H173" s="19" t="str">
        <f>ROUND((7400/100*(100-M16)),0)</f>
        <v>0</v>
      </c>
      <c r="I173" s="14">
        <v>2</v>
      </c>
      <c r="J173" s="16" t="s">
        <v>119</v>
      </c>
      <c r="K173" s="16" t="s">
        <v>36</v>
      </c>
      <c r="L173" s="16"/>
      <c r="M173" s="16" t="str">
        <f>IF(L173="","",H173*L173)</f>
        <v>0</v>
      </c>
    </row>
    <row r="174" spans="1:13">
      <c r="A174" s="15" t="s">
        <v>511</v>
      </c>
      <c r="B174" s="16" t="s">
        <v>512</v>
      </c>
      <c r="C174" s="17" t="s">
        <v>32</v>
      </c>
      <c r="D174" s="16" t="s">
        <v>29</v>
      </c>
      <c r="E174" s="16" t="s">
        <v>513</v>
      </c>
      <c r="F174" s="16" t="s">
        <v>465</v>
      </c>
      <c r="G174" s="18">
        <v>1365</v>
      </c>
      <c r="H174" s="19" t="str">
        <f>ROUND((1365/100*(100-M16)),0)</f>
        <v>0</v>
      </c>
      <c r="I174" s="14">
        <v>12</v>
      </c>
      <c r="J174" s="16" t="s">
        <v>62</v>
      </c>
      <c r="K174" s="16" t="s">
        <v>36</v>
      </c>
      <c r="L174" s="16"/>
      <c r="M174" s="16" t="str">
        <f>IF(L174="","",H174*L174)</f>
        <v>0</v>
      </c>
    </row>
    <row r="175" spans="1:13">
      <c r="A175" s="15" t="s">
        <v>514</v>
      </c>
      <c r="B175" s="16" t="s">
        <v>515</v>
      </c>
      <c r="C175" s="17" t="s">
        <v>32</v>
      </c>
      <c r="D175" s="16" t="s">
        <v>29</v>
      </c>
      <c r="E175" s="16" t="s">
        <v>516</v>
      </c>
      <c r="F175" s="16" t="s">
        <v>465</v>
      </c>
      <c r="G175" s="18">
        <v>1785</v>
      </c>
      <c r="H175" s="19" t="str">
        <f>ROUND((1785/100*(100-M16)),0)</f>
        <v>0</v>
      </c>
      <c r="I175" s="14">
        <v>18</v>
      </c>
      <c r="J175" s="16" t="s">
        <v>51</v>
      </c>
      <c r="K175" s="16" t="s">
        <v>36</v>
      </c>
      <c r="L175" s="16"/>
      <c r="M175" s="16" t="str">
        <f>IF(L175="","",H175*L175)</f>
        <v>0</v>
      </c>
    </row>
    <row r="176" spans="1:13">
      <c r="A176" s="15" t="s">
        <v>517</v>
      </c>
      <c r="B176" s="16" t="s">
        <v>518</v>
      </c>
      <c r="C176" s="17" t="s">
        <v>32</v>
      </c>
      <c r="D176" s="16" t="s">
        <v>29</v>
      </c>
      <c r="E176" s="16" t="s">
        <v>519</v>
      </c>
      <c r="F176" s="16" t="s">
        <v>465</v>
      </c>
      <c r="G176" s="18">
        <v>2220</v>
      </c>
      <c r="H176" s="19" t="str">
        <f>ROUND((2220/100*(100-M16)),0)</f>
        <v>0</v>
      </c>
      <c r="I176" s="14">
        <v>11</v>
      </c>
      <c r="J176" s="16" t="s">
        <v>51</v>
      </c>
      <c r="K176" s="16" t="s">
        <v>36</v>
      </c>
      <c r="L176" s="16"/>
      <c r="M176" s="16" t="str">
        <f>IF(L176="","",H176*L176)</f>
        <v>0</v>
      </c>
    </row>
    <row r="177" spans="1:13">
      <c r="A177" s="15" t="s">
        <v>520</v>
      </c>
      <c r="B177" s="16" t="s">
        <v>521</v>
      </c>
      <c r="C177" s="17" t="s">
        <v>32</v>
      </c>
      <c r="D177" s="16" t="s">
        <v>29</v>
      </c>
      <c r="E177" s="16" t="s">
        <v>522</v>
      </c>
      <c r="F177" s="16" t="s">
        <v>465</v>
      </c>
      <c r="G177" s="18">
        <v>2225</v>
      </c>
      <c r="H177" s="19" t="str">
        <f>ROUND((2225/100*(100-M16)),0)</f>
        <v>0</v>
      </c>
      <c r="I177" s="14">
        <v>9</v>
      </c>
      <c r="J177" s="16" t="s">
        <v>51</v>
      </c>
      <c r="K177" s="16" t="s">
        <v>36</v>
      </c>
      <c r="L177" s="16"/>
      <c r="M177" s="16" t="str">
        <f>IF(L177="","",H177*L177)</f>
        <v>0</v>
      </c>
    </row>
    <row r="178" spans="1:13">
      <c r="A178" s="15" t="s">
        <v>523</v>
      </c>
      <c r="B178" s="16" t="s">
        <v>524</v>
      </c>
      <c r="C178" s="17" t="s">
        <v>32</v>
      </c>
      <c r="D178" s="16" t="s">
        <v>29</v>
      </c>
      <c r="E178" s="16" t="s">
        <v>525</v>
      </c>
      <c r="F178" s="16" t="s">
        <v>465</v>
      </c>
      <c r="G178" s="18">
        <v>3010</v>
      </c>
      <c r="H178" s="19" t="str">
        <f>ROUND((3010/100*(100-M16)),0)</f>
        <v>0</v>
      </c>
      <c r="I178" s="14">
        <v>4</v>
      </c>
      <c r="J178" s="16" t="s">
        <v>47</v>
      </c>
      <c r="K178" s="16" t="s">
        <v>36</v>
      </c>
      <c r="L178" s="16"/>
      <c r="M178" s="16" t="str">
        <f>IF(L178="","",H178*L178)</f>
        <v>0</v>
      </c>
    </row>
    <row r="179" spans="1:13">
      <c r="A179" s="15" t="s">
        <v>526</v>
      </c>
      <c r="B179" s="16" t="s">
        <v>527</v>
      </c>
      <c r="C179" s="17" t="s">
        <v>32</v>
      </c>
      <c r="D179" s="16" t="s">
        <v>29</v>
      </c>
      <c r="E179" s="16" t="s">
        <v>528</v>
      </c>
      <c r="F179" s="16" t="s">
        <v>465</v>
      </c>
      <c r="G179" s="18">
        <v>5460</v>
      </c>
      <c r="H179" s="19" t="str">
        <f>ROUND((5460/100*(100-M16)),0)</f>
        <v>0</v>
      </c>
      <c r="I179" s="14">
        <v>7</v>
      </c>
      <c r="J179" s="16" t="s">
        <v>69</v>
      </c>
      <c r="K179" s="16" t="s">
        <v>36</v>
      </c>
      <c r="L179" s="16"/>
      <c r="M179" s="16" t="str">
        <f>IF(L179="","",H179*L179)</f>
        <v>0</v>
      </c>
    </row>
    <row r="180" spans="1:13">
      <c r="A180" s="15" t="s">
        <v>529</v>
      </c>
      <c r="B180" s="16" t="s">
        <v>530</v>
      </c>
      <c r="C180" s="17" t="s">
        <v>32</v>
      </c>
      <c r="D180" s="16" t="s">
        <v>29</v>
      </c>
      <c r="E180" s="16" t="s">
        <v>531</v>
      </c>
      <c r="F180" s="16" t="s">
        <v>465</v>
      </c>
      <c r="G180" s="18">
        <v>4100</v>
      </c>
      <c r="H180" s="19" t="str">
        <f>ROUND((4100/100*(100-M16)),0)</f>
        <v>0</v>
      </c>
      <c r="I180" s="14">
        <v>1</v>
      </c>
      <c r="J180" s="16" t="s">
        <v>119</v>
      </c>
      <c r="K180" s="16" t="s">
        <v>36</v>
      </c>
      <c r="L180" s="16"/>
      <c r="M180" s="16" t="str">
        <f>IF(L180="","",H180*L180)</f>
        <v>0</v>
      </c>
    </row>
    <row r="181" spans="1:13">
      <c r="A181" s="15" t="s">
        <v>532</v>
      </c>
      <c r="B181" s="16" t="s">
        <v>533</v>
      </c>
      <c r="C181" s="17" t="s">
        <v>32</v>
      </c>
      <c r="D181" s="16" t="s">
        <v>29</v>
      </c>
      <c r="E181" s="16" t="s">
        <v>534</v>
      </c>
      <c r="F181" s="16" t="s">
        <v>465</v>
      </c>
      <c r="G181" s="18">
        <v>4100</v>
      </c>
      <c r="H181" s="19" t="str">
        <f>ROUND((4100/100*(100-M16)),0)</f>
        <v>0</v>
      </c>
      <c r="I181" s="14">
        <v>8</v>
      </c>
      <c r="J181" s="16" t="s">
        <v>119</v>
      </c>
      <c r="K181" s="16" t="s">
        <v>36</v>
      </c>
      <c r="L181" s="16"/>
      <c r="M181" s="16" t="str">
        <f>IF(L181="","",H181*L181)</f>
        <v>0</v>
      </c>
    </row>
    <row r="182" spans="1:13">
      <c r="A182" s="15" t="s">
        <v>535</v>
      </c>
      <c r="B182" s="16" t="s">
        <v>536</v>
      </c>
      <c r="C182" s="17" t="s">
        <v>32</v>
      </c>
      <c r="D182" s="16" t="s">
        <v>29</v>
      </c>
      <c r="E182" s="16" t="s">
        <v>537</v>
      </c>
      <c r="F182" s="16" t="s">
        <v>465</v>
      </c>
      <c r="G182" s="18">
        <v>7920</v>
      </c>
      <c r="H182" s="19" t="str">
        <f>ROUND((7920/100*(100-M16)),0)</f>
        <v>0</v>
      </c>
      <c r="I182" s="14">
        <v>4</v>
      </c>
      <c r="J182" s="16" t="s">
        <v>119</v>
      </c>
      <c r="K182" s="16" t="s">
        <v>36</v>
      </c>
      <c r="L182" s="16"/>
      <c r="M182" s="16" t="str">
        <f>IF(L182="","",H182*L182)</f>
        <v>0</v>
      </c>
    </row>
    <row r="183" spans="1:13">
      <c r="A183" s="15" t="s">
        <v>538</v>
      </c>
      <c r="B183" s="16" t="s">
        <v>539</v>
      </c>
      <c r="C183" s="17" t="s">
        <v>32</v>
      </c>
      <c r="D183" s="16" t="s">
        <v>29</v>
      </c>
      <c r="E183" s="16" t="s">
        <v>540</v>
      </c>
      <c r="F183" s="16" t="s">
        <v>465</v>
      </c>
      <c r="G183" s="18">
        <v>9475</v>
      </c>
      <c r="H183" s="19" t="str">
        <f>ROUND((9475/100*(100-M16)),0)</f>
        <v>0</v>
      </c>
      <c r="I183" s="14">
        <v>2</v>
      </c>
      <c r="J183" s="16" t="s">
        <v>129</v>
      </c>
      <c r="K183" s="16" t="s">
        <v>36</v>
      </c>
      <c r="L183" s="16"/>
      <c r="M183" s="16" t="str">
        <f>IF(L183="","",H183*L183)</f>
        <v>0</v>
      </c>
    </row>
    <row r="184" spans="1:13">
      <c r="A184" s="15" t="s">
        <v>541</v>
      </c>
      <c r="B184" s="16" t="s">
        <v>542</v>
      </c>
      <c r="C184" s="17" t="s">
        <v>32</v>
      </c>
      <c r="D184" s="16" t="s">
        <v>29</v>
      </c>
      <c r="E184" s="16" t="s">
        <v>543</v>
      </c>
      <c r="F184" s="16" t="s">
        <v>465</v>
      </c>
      <c r="G184" s="18">
        <v>9475</v>
      </c>
      <c r="H184" s="19" t="str">
        <f>ROUND((9475/100*(100-M16)),0)</f>
        <v>0</v>
      </c>
      <c r="I184" s="14">
        <v>4</v>
      </c>
      <c r="J184" s="16" t="s">
        <v>129</v>
      </c>
      <c r="K184" s="16" t="s">
        <v>36</v>
      </c>
      <c r="L184" s="16"/>
      <c r="M184" s="16" t="str">
        <f>IF(L184="","",H184*L184)</f>
        <v>0</v>
      </c>
    </row>
    <row r="185" spans="1:13">
      <c r="A185" s="15" t="s">
        <v>544</v>
      </c>
      <c r="B185" s="16" t="s">
        <v>545</v>
      </c>
      <c r="C185" s="17" t="s">
        <v>32</v>
      </c>
      <c r="D185" s="16" t="s">
        <v>29</v>
      </c>
      <c r="E185" s="16" t="s">
        <v>546</v>
      </c>
      <c r="F185" s="16" t="s">
        <v>465</v>
      </c>
      <c r="G185" s="18">
        <v>2265</v>
      </c>
      <c r="H185" s="19" t="str">
        <f>ROUND((2265/100*(100-M16)),0)</f>
        <v>0</v>
      </c>
      <c r="I185" s="14">
        <v>12</v>
      </c>
      <c r="J185" s="16" t="s">
        <v>62</v>
      </c>
      <c r="K185" s="16" t="s">
        <v>36</v>
      </c>
      <c r="L185" s="16"/>
      <c r="M185" s="16" t="str">
        <f>IF(L185="","",H185*L185)</f>
        <v>0</v>
      </c>
    </row>
    <row r="186" spans="1:13">
      <c r="A186" s="15" t="s">
        <v>547</v>
      </c>
      <c r="B186" s="16" t="s">
        <v>548</v>
      </c>
      <c r="C186" s="17" t="s">
        <v>32</v>
      </c>
      <c r="D186" s="16" t="s">
        <v>29</v>
      </c>
      <c r="E186" s="16" t="s">
        <v>549</v>
      </c>
      <c r="F186" s="16" t="s">
        <v>465</v>
      </c>
      <c r="G186" s="18">
        <v>2480</v>
      </c>
      <c r="H186" s="19" t="str">
        <f>ROUND((2480/100*(100-M16)),0)</f>
        <v>0</v>
      </c>
      <c r="I186" s="14">
        <v>4</v>
      </c>
      <c r="J186" s="16" t="s">
        <v>62</v>
      </c>
      <c r="K186" s="16" t="s">
        <v>36</v>
      </c>
      <c r="L186" s="16"/>
      <c r="M186" s="16" t="str">
        <f>IF(L186="","",H186*L186)</f>
        <v>0</v>
      </c>
    </row>
    <row r="187" spans="1:13">
      <c r="A187" s="15" t="s">
        <v>550</v>
      </c>
      <c r="B187" s="16" t="s">
        <v>551</v>
      </c>
      <c r="C187" s="17" t="s">
        <v>32</v>
      </c>
      <c r="D187" s="16" t="s">
        <v>29</v>
      </c>
      <c r="E187" s="16" t="s">
        <v>552</v>
      </c>
      <c r="F187" s="16" t="s">
        <v>465</v>
      </c>
      <c r="G187" s="18">
        <v>4485</v>
      </c>
      <c r="H187" s="19" t="str">
        <f>ROUND((4485/100*(100-M16)),0)</f>
        <v>0</v>
      </c>
      <c r="I187" s="14">
        <v>6</v>
      </c>
      <c r="J187" s="16" t="s">
        <v>69</v>
      </c>
      <c r="K187" s="16" t="s">
        <v>36</v>
      </c>
      <c r="L187" s="16"/>
      <c r="M187" s="16" t="str">
        <f>IF(L187="","",H187*L187)</f>
        <v>0</v>
      </c>
    </row>
    <row r="188" spans="1:13">
      <c r="A188" s="15" t="s">
        <v>553</v>
      </c>
      <c r="B188" s="16" t="s">
        <v>554</v>
      </c>
      <c r="C188" s="17" t="s">
        <v>32</v>
      </c>
      <c r="D188" s="16" t="s">
        <v>29</v>
      </c>
      <c r="E188" s="16" t="s">
        <v>555</v>
      </c>
      <c r="F188" s="16" t="s">
        <v>465</v>
      </c>
      <c r="G188" s="18">
        <v>13190</v>
      </c>
      <c r="H188" s="19" t="str">
        <f>ROUND((13190/100*(100-M16)),0)</f>
        <v>0</v>
      </c>
      <c r="I188" s="14">
        <v>3</v>
      </c>
      <c r="J188" s="16" t="s">
        <v>129</v>
      </c>
      <c r="K188" s="16" t="s">
        <v>36</v>
      </c>
      <c r="L188" s="16"/>
      <c r="M188" s="16" t="str">
        <f>IF(L188="","",H188*L188)</f>
        <v>0</v>
      </c>
    </row>
    <row r="189" spans="1:13">
      <c r="A189" s="15" t="s">
        <v>556</v>
      </c>
      <c r="B189" s="16" t="s">
        <v>557</v>
      </c>
      <c r="C189" s="17" t="s">
        <v>32</v>
      </c>
      <c r="D189" s="16" t="s">
        <v>29</v>
      </c>
      <c r="E189" s="16" t="s">
        <v>558</v>
      </c>
      <c r="F189" s="16" t="s">
        <v>559</v>
      </c>
      <c r="G189" s="18">
        <v>560</v>
      </c>
      <c r="H189" s="19" t="str">
        <f>ROUND((560/100*(100-M16)),0)</f>
        <v>0</v>
      </c>
      <c r="I189" s="14">
        <v>17</v>
      </c>
      <c r="J189" s="16" t="s">
        <v>560</v>
      </c>
      <c r="K189" s="16" t="s">
        <v>36</v>
      </c>
      <c r="L189" s="16"/>
      <c r="M189" s="16" t="str">
        <f>IF(L189="","",H189*L189)</f>
        <v>0</v>
      </c>
    </row>
    <row r="190" spans="1:13">
      <c r="A190" s="15" t="s">
        <v>561</v>
      </c>
      <c r="B190" s="16" t="s">
        <v>562</v>
      </c>
      <c r="C190" s="17" t="s">
        <v>32</v>
      </c>
      <c r="D190" s="16" t="s">
        <v>29</v>
      </c>
      <c r="E190" s="16" t="s">
        <v>563</v>
      </c>
      <c r="F190" s="16" t="s">
        <v>559</v>
      </c>
      <c r="G190" s="18">
        <v>610</v>
      </c>
      <c r="H190" s="19" t="str">
        <f>ROUND((610/100*(100-M16)),0)</f>
        <v>0</v>
      </c>
      <c r="I190" s="14">
        <v>3</v>
      </c>
      <c r="J190" s="16" t="s">
        <v>560</v>
      </c>
      <c r="K190" s="16" t="s">
        <v>36</v>
      </c>
      <c r="L190" s="16"/>
      <c r="M190" s="16" t="str">
        <f>IF(L190="","",H190*L190)</f>
        <v>0</v>
      </c>
    </row>
    <row r="191" spans="1:13">
      <c r="A191" s="15" t="s">
        <v>564</v>
      </c>
      <c r="B191" s="16" t="s">
        <v>565</v>
      </c>
      <c r="C191" s="17" t="s">
        <v>32</v>
      </c>
      <c r="D191" s="16" t="s">
        <v>29</v>
      </c>
      <c r="E191" s="16" t="s">
        <v>566</v>
      </c>
      <c r="F191" s="16" t="s">
        <v>559</v>
      </c>
      <c r="G191" s="18">
        <v>713</v>
      </c>
      <c r="H191" s="19" t="str">
        <f>ROUND((713/100*(100-M16)),0)</f>
        <v>0</v>
      </c>
      <c r="I191" s="14">
        <v>26</v>
      </c>
      <c r="J191" s="16" t="s">
        <v>35</v>
      </c>
      <c r="K191" s="16" t="s">
        <v>36</v>
      </c>
      <c r="L191" s="16"/>
      <c r="M191" s="16" t="str">
        <f>IF(L191="","",H191*L191)</f>
        <v>0</v>
      </c>
    </row>
    <row r="192" spans="1:13">
      <c r="A192" s="15" t="s">
        <v>567</v>
      </c>
      <c r="B192" s="16" t="s">
        <v>568</v>
      </c>
      <c r="C192" s="17" t="s">
        <v>32</v>
      </c>
      <c r="D192" s="16" t="s">
        <v>29</v>
      </c>
      <c r="E192" s="16" t="s">
        <v>569</v>
      </c>
      <c r="F192" s="16" t="s">
        <v>559</v>
      </c>
      <c r="G192" s="18">
        <v>8093</v>
      </c>
      <c r="H192" s="19" t="str">
        <f>ROUND((8093/100*(100-M16)),0)</f>
        <v>0</v>
      </c>
      <c r="I192" s="14">
        <v>7</v>
      </c>
      <c r="J192" s="16" t="s">
        <v>119</v>
      </c>
      <c r="K192" s="16" t="s">
        <v>36</v>
      </c>
      <c r="L192" s="16"/>
      <c r="M192" s="16" t="str">
        <f>IF(L192="","",H192*L192)</f>
        <v>0</v>
      </c>
    </row>
    <row r="193" spans="1:13">
      <c r="A193" s="15" t="s">
        <v>570</v>
      </c>
      <c r="B193" s="16" t="s">
        <v>571</v>
      </c>
      <c r="C193" s="17" t="s">
        <v>32</v>
      </c>
      <c r="D193" s="16" t="s">
        <v>29</v>
      </c>
      <c r="E193" s="16" t="s">
        <v>572</v>
      </c>
      <c r="F193" s="16" t="s">
        <v>559</v>
      </c>
      <c r="G193" s="18">
        <v>760</v>
      </c>
      <c r="H193" s="19" t="str">
        <f>ROUND((760/100*(100-M16)),0)</f>
        <v>0</v>
      </c>
      <c r="I193" s="14">
        <v>20</v>
      </c>
      <c r="J193" s="16" t="s">
        <v>51</v>
      </c>
      <c r="K193" s="16" t="s">
        <v>36</v>
      </c>
      <c r="L193" s="16"/>
      <c r="M193" s="16" t="str">
        <f>IF(L193="","",H193*L193)</f>
        <v>0</v>
      </c>
    </row>
    <row r="194" spans="1:13">
      <c r="A194" s="15" t="s">
        <v>573</v>
      </c>
      <c r="B194" s="16" t="s">
        <v>574</v>
      </c>
      <c r="C194" s="17" t="s">
        <v>32</v>
      </c>
      <c r="D194" s="16" t="s">
        <v>29</v>
      </c>
      <c r="E194" s="16" t="s">
        <v>575</v>
      </c>
      <c r="F194" s="16" t="s">
        <v>559</v>
      </c>
      <c r="G194" s="18">
        <v>990</v>
      </c>
      <c r="H194" s="19" t="str">
        <f>ROUND((990/100*(100-M16)),0)</f>
        <v>0</v>
      </c>
      <c r="I194" s="14">
        <v>67</v>
      </c>
      <c r="J194" s="16" t="s">
        <v>560</v>
      </c>
      <c r="K194" s="16" t="s">
        <v>36</v>
      </c>
      <c r="L194" s="16"/>
      <c r="M194" s="16" t="str">
        <f>IF(L194="","",H194*L194)</f>
        <v>0</v>
      </c>
    </row>
    <row r="195" spans="1:13">
      <c r="A195" s="15" t="s">
        <v>576</v>
      </c>
      <c r="B195" s="16" t="s">
        <v>577</v>
      </c>
      <c r="C195" s="17" t="s">
        <v>32</v>
      </c>
      <c r="D195" s="16" t="s">
        <v>29</v>
      </c>
      <c r="E195" s="16" t="s">
        <v>578</v>
      </c>
      <c r="F195" s="16" t="s">
        <v>559</v>
      </c>
      <c r="G195" s="18">
        <v>1440</v>
      </c>
      <c r="H195" s="19" t="str">
        <f>ROUND((1440/100*(100-M16)),0)</f>
        <v>0</v>
      </c>
      <c r="I195" s="14">
        <v>14</v>
      </c>
      <c r="J195" s="16" t="s">
        <v>58</v>
      </c>
      <c r="K195" s="16" t="s">
        <v>36</v>
      </c>
      <c r="L195" s="16"/>
      <c r="M195" s="16" t="str">
        <f>IF(L195="","",H195*L195)</f>
        <v>0</v>
      </c>
    </row>
    <row r="196" spans="1:13">
      <c r="A196" s="15" t="s">
        <v>579</v>
      </c>
      <c r="B196" s="16" t="s">
        <v>580</v>
      </c>
      <c r="C196" s="17" t="s">
        <v>32</v>
      </c>
      <c r="D196" s="16" t="s">
        <v>29</v>
      </c>
      <c r="E196" s="16" t="s">
        <v>581</v>
      </c>
      <c r="F196" s="16" t="s">
        <v>559</v>
      </c>
      <c r="G196" s="18">
        <v>1550</v>
      </c>
      <c r="H196" s="19" t="str">
        <f>ROUND((1550/100*(100-M16)),0)</f>
        <v>0</v>
      </c>
      <c r="I196" s="14">
        <v>28</v>
      </c>
      <c r="J196" s="16" t="s">
        <v>51</v>
      </c>
      <c r="K196" s="16" t="s">
        <v>36</v>
      </c>
      <c r="L196" s="16"/>
      <c r="M196" s="16" t="str">
        <f>IF(L196="","",H196*L196)</f>
        <v>0</v>
      </c>
    </row>
    <row r="197" spans="1:13">
      <c r="A197" s="15" t="s">
        <v>582</v>
      </c>
      <c r="B197" s="16" t="s">
        <v>583</v>
      </c>
      <c r="C197" s="17" t="s">
        <v>32</v>
      </c>
      <c r="D197" s="16" t="s">
        <v>29</v>
      </c>
      <c r="E197" s="16" t="s">
        <v>584</v>
      </c>
      <c r="F197" s="16" t="s">
        <v>559</v>
      </c>
      <c r="G197" s="18">
        <v>1853</v>
      </c>
      <c r="H197" s="19" t="str">
        <f>ROUND((1853/100*(100-M16)),0)</f>
        <v>0</v>
      </c>
      <c r="I197" s="14">
        <v>38</v>
      </c>
      <c r="J197" s="16" t="s">
        <v>58</v>
      </c>
      <c r="K197" s="16" t="s">
        <v>36</v>
      </c>
      <c r="L197" s="16"/>
      <c r="M197" s="16" t="str">
        <f>IF(L197="","",H197*L197)</f>
        <v>0</v>
      </c>
    </row>
    <row r="198" spans="1:13">
      <c r="A198" s="15" t="s">
        <v>585</v>
      </c>
      <c r="B198" s="16" t="s">
        <v>586</v>
      </c>
      <c r="C198" s="17" t="s">
        <v>32</v>
      </c>
      <c r="D198" s="16" t="s">
        <v>29</v>
      </c>
      <c r="E198" s="16" t="s">
        <v>587</v>
      </c>
      <c r="F198" s="16" t="s">
        <v>559</v>
      </c>
      <c r="G198" s="18">
        <v>19780</v>
      </c>
      <c r="H198" s="19" t="str">
        <f>ROUND((19780/100*(100-M16)),0)</f>
        <v>0</v>
      </c>
      <c r="I198" s="14">
        <v>1</v>
      </c>
      <c r="J198" s="16" t="s">
        <v>139</v>
      </c>
      <c r="K198" s="16" t="s">
        <v>36</v>
      </c>
      <c r="L198" s="16"/>
      <c r="M198" s="16" t="str">
        <f>IF(L198="","",H198*L198)</f>
        <v>0</v>
      </c>
    </row>
    <row r="199" spans="1:13">
      <c r="A199" s="15" t="s">
        <v>588</v>
      </c>
      <c r="B199" s="16" t="s">
        <v>589</v>
      </c>
      <c r="C199" s="17" t="s">
        <v>32</v>
      </c>
      <c r="D199" s="16" t="s">
        <v>29</v>
      </c>
      <c r="E199" s="16" t="s">
        <v>590</v>
      </c>
      <c r="F199" s="16" t="s">
        <v>559</v>
      </c>
      <c r="G199" s="18">
        <v>1990</v>
      </c>
      <c r="H199" s="19" t="str">
        <f>ROUND((1990/100*(100-M16)),0)</f>
        <v>0</v>
      </c>
      <c r="I199" s="14">
        <v>54</v>
      </c>
      <c r="J199" s="16" t="s">
        <v>51</v>
      </c>
      <c r="K199" s="16" t="s">
        <v>36</v>
      </c>
      <c r="L199" s="16"/>
      <c r="M199" s="16" t="str">
        <f>IF(L199="","",H199*L199)</f>
        <v>0</v>
      </c>
    </row>
    <row r="200" spans="1:13">
      <c r="A200" s="15" t="s">
        <v>591</v>
      </c>
      <c r="B200" s="16" t="s">
        <v>592</v>
      </c>
      <c r="C200" s="17" t="s">
        <v>32</v>
      </c>
      <c r="D200" s="16" t="s">
        <v>29</v>
      </c>
      <c r="E200" s="16" t="s">
        <v>593</v>
      </c>
      <c r="F200" s="16" t="s">
        <v>559</v>
      </c>
      <c r="G200" s="18">
        <v>2660</v>
      </c>
      <c r="H200" s="19" t="str">
        <f>ROUND((2660/100*(100-M16)),0)</f>
        <v>0</v>
      </c>
      <c r="I200" s="14">
        <v>12</v>
      </c>
      <c r="J200" s="16" t="s">
        <v>62</v>
      </c>
      <c r="K200" s="16" t="s">
        <v>36</v>
      </c>
      <c r="L200" s="16"/>
      <c r="M200" s="16" t="str">
        <f>IF(L200="","",H200*L200)</f>
        <v>0</v>
      </c>
    </row>
    <row r="201" spans="1:13">
      <c r="A201" s="15" t="s">
        <v>594</v>
      </c>
      <c r="B201" s="16" t="s">
        <v>595</v>
      </c>
      <c r="C201" s="17" t="s">
        <v>32</v>
      </c>
      <c r="D201" s="16" t="s">
        <v>29</v>
      </c>
      <c r="E201" s="16" t="s">
        <v>596</v>
      </c>
      <c r="F201" s="16" t="s">
        <v>559</v>
      </c>
      <c r="G201" s="18">
        <v>5153</v>
      </c>
      <c r="H201" s="19" t="str">
        <f>ROUND((5153/100*(100-M16)),0)</f>
        <v>0</v>
      </c>
      <c r="I201" s="14">
        <v>3</v>
      </c>
      <c r="J201" s="16" t="s">
        <v>69</v>
      </c>
      <c r="K201" s="16" t="s">
        <v>36</v>
      </c>
      <c r="L201" s="16"/>
      <c r="M201" s="16" t="str">
        <f>IF(L201="","",H201*L201)</f>
        <v>0</v>
      </c>
    </row>
    <row r="202" spans="1:13">
      <c r="A202" s="15" t="s">
        <v>597</v>
      </c>
      <c r="B202" s="16" t="s">
        <v>598</v>
      </c>
      <c r="C202" s="17" t="s">
        <v>32</v>
      </c>
      <c r="D202" s="16" t="s">
        <v>29</v>
      </c>
      <c r="E202" s="16" t="s">
        <v>599</v>
      </c>
      <c r="F202" s="16" t="s">
        <v>559</v>
      </c>
      <c r="G202" s="18">
        <v>1093</v>
      </c>
      <c r="H202" s="19" t="str">
        <f>ROUND((1093/100*(100-M16)),0)</f>
        <v>0</v>
      </c>
      <c r="I202" s="14">
        <v>22</v>
      </c>
      <c r="J202" s="16" t="s">
        <v>43</v>
      </c>
      <c r="K202" s="16" t="s">
        <v>36</v>
      </c>
      <c r="L202" s="16"/>
      <c r="M202" s="16" t="str">
        <f>IF(L202="","",H202*L202)</f>
        <v>0</v>
      </c>
    </row>
    <row r="203" spans="1:13">
      <c r="A203" s="15" t="s">
        <v>600</v>
      </c>
      <c r="B203" s="16" t="s">
        <v>601</v>
      </c>
      <c r="C203" s="17" t="s">
        <v>32</v>
      </c>
      <c r="D203" s="16" t="s">
        <v>29</v>
      </c>
      <c r="E203" s="16" t="s">
        <v>602</v>
      </c>
      <c r="F203" s="16" t="s">
        <v>559</v>
      </c>
      <c r="G203" s="18">
        <v>1200</v>
      </c>
      <c r="H203" s="19" t="str">
        <f>ROUND((1200/100*(100-M16)),0)</f>
        <v>0</v>
      </c>
      <c r="I203" s="14">
        <v>23</v>
      </c>
      <c r="J203" s="16" t="s">
        <v>43</v>
      </c>
      <c r="K203" s="16" t="s">
        <v>36</v>
      </c>
      <c r="L203" s="16"/>
      <c r="M203" s="16" t="str">
        <f>IF(L203="","",H203*L203)</f>
        <v>0</v>
      </c>
    </row>
    <row r="204" spans="1:13">
      <c r="A204" s="15" t="s">
        <v>603</v>
      </c>
      <c r="B204" s="16" t="s">
        <v>604</v>
      </c>
      <c r="C204" s="17" t="s">
        <v>32</v>
      </c>
      <c r="D204" s="16" t="s">
        <v>29</v>
      </c>
      <c r="E204" s="16" t="s">
        <v>605</v>
      </c>
      <c r="F204" s="16" t="s">
        <v>559</v>
      </c>
      <c r="G204" s="18">
        <v>1360</v>
      </c>
      <c r="H204" s="19" t="str">
        <f>ROUND((1360/100*(100-M16)),0)</f>
        <v>0</v>
      </c>
      <c r="I204" s="14">
        <v>20</v>
      </c>
      <c r="J204" s="16" t="s">
        <v>51</v>
      </c>
      <c r="K204" s="16" t="s">
        <v>36</v>
      </c>
      <c r="L204" s="16"/>
      <c r="M204" s="16" t="str">
        <f>IF(L204="","",H204*L204)</f>
        <v>0</v>
      </c>
    </row>
    <row r="205" spans="1:13">
      <c r="A205" s="15" t="s">
        <v>606</v>
      </c>
      <c r="B205" s="16" t="s">
        <v>607</v>
      </c>
      <c r="C205" s="17" t="s">
        <v>32</v>
      </c>
      <c r="D205" s="16" t="s">
        <v>29</v>
      </c>
      <c r="E205" s="16" t="s">
        <v>608</v>
      </c>
      <c r="F205" s="16" t="s">
        <v>559</v>
      </c>
      <c r="G205" s="18">
        <v>1900</v>
      </c>
      <c r="H205" s="19" t="str">
        <f>ROUND((1900/100*(100-M16)),0)</f>
        <v>0</v>
      </c>
      <c r="I205" s="14">
        <v>13</v>
      </c>
      <c r="J205" s="16" t="s">
        <v>62</v>
      </c>
      <c r="K205" s="16" t="s">
        <v>36</v>
      </c>
      <c r="L205" s="16"/>
      <c r="M205" s="16" t="str">
        <f>IF(L205="","",H205*L205)</f>
        <v>0</v>
      </c>
    </row>
    <row r="206" spans="1:13">
      <c r="A206" s="15" t="s">
        <v>609</v>
      </c>
      <c r="B206" s="16" t="s">
        <v>610</v>
      </c>
      <c r="C206" s="17" t="s">
        <v>32</v>
      </c>
      <c r="D206" s="16" t="s">
        <v>29</v>
      </c>
      <c r="E206" s="16" t="s">
        <v>611</v>
      </c>
      <c r="F206" s="16" t="s">
        <v>559</v>
      </c>
      <c r="G206" s="18">
        <v>2010</v>
      </c>
      <c r="H206" s="19" t="str">
        <f>ROUND((2010/100*(100-M16)),0)</f>
        <v>0</v>
      </c>
      <c r="I206" s="14">
        <v>14</v>
      </c>
      <c r="J206" s="16" t="s">
        <v>62</v>
      </c>
      <c r="K206" s="16" t="s">
        <v>36</v>
      </c>
      <c r="L206" s="16"/>
      <c r="M206" s="16" t="str">
        <f>IF(L206="","",H206*L206)</f>
        <v>0</v>
      </c>
    </row>
    <row r="207" spans="1:13">
      <c r="A207" s="15" t="s">
        <v>612</v>
      </c>
      <c r="B207" s="16" t="s">
        <v>613</v>
      </c>
      <c r="C207" s="17" t="s">
        <v>32</v>
      </c>
      <c r="D207" s="16" t="s">
        <v>29</v>
      </c>
      <c r="E207" s="16" t="s">
        <v>614</v>
      </c>
      <c r="F207" s="16" t="s">
        <v>559</v>
      </c>
      <c r="G207" s="18">
        <v>2350</v>
      </c>
      <c r="H207" s="19" t="str">
        <f>ROUND((2350/100*(100-M16)),0)</f>
        <v>0</v>
      </c>
      <c r="I207" s="14">
        <v>13</v>
      </c>
      <c r="J207" s="16" t="s">
        <v>62</v>
      </c>
      <c r="K207" s="16" t="s">
        <v>36</v>
      </c>
      <c r="L207" s="16"/>
      <c r="M207" s="16" t="str">
        <f>IF(L207="","",H207*L207)</f>
        <v>0</v>
      </c>
    </row>
    <row r="208" spans="1:13">
      <c r="A208" s="15" t="s">
        <v>615</v>
      </c>
      <c r="B208" s="16" t="s">
        <v>616</v>
      </c>
      <c r="C208" s="17" t="s">
        <v>32</v>
      </c>
      <c r="D208" s="16" t="s">
        <v>29</v>
      </c>
      <c r="E208" s="16" t="s">
        <v>617</v>
      </c>
      <c r="F208" s="16" t="s">
        <v>559</v>
      </c>
      <c r="G208" s="18">
        <v>2350</v>
      </c>
      <c r="H208" s="19" t="str">
        <f>ROUND((2350/100*(100-M16)),0)</f>
        <v>0</v>
      </c>
      <c r="I208" s="14">
        <v>1</v>
      </c>
      <c r="J208" s="16" t="s">
        <v>47</v>
      </c>
      <c r="K208" s="16" t="s">
        <v>36</v>
      </c>
      <c r="L208" s="16"/>
      <c r="M208" s="16" t="str">
        <f>IF(L208="","",H208*L208)</f>
        <v>0</v>
      </c>
    </row>
    <row r="209" spans="1:13">
      <c r="A209" s="15" t="s">
        <v>618</v>
      </c>
      <c r="B209" s="16" t="s">
        <v>619</v>
      </c>
      <c r="C209" s="17" t="s">
        <v>32</v>
      </c>
      <c r="D209" s="16" t="s">
        <v>29</v>
      </c>
      <c r="E209" s="16" t="s">
        <v>620</v>
      </c>
      <c r="F209" s="16" t="s">
        <v>559</v>
      </c>
      <c r="G209" s="18">
        <v>3500</v>
      </c>
      <c r="H209" s="19" t="str">
        <f>ROUND((3500/100*(100-M16)),0)</f>
        <v>0</v>
      </c>
      <c r="I209" s="14">
        <v>15</v>
      </c>
      <c r="J209" s="16" t="s">
        <v>69</v>
      </c>
      <c r="K209" s="16" t="s">
        <v>36</v>
      </c>
      <c r="L209" s="16"/>
      <c r="M209" s="16" t="str">
        <f>IF(L209="","",H209*L209)</f>
        <v>0</v>
      </c>
    </row>
    <row r="210" spans="1:13">
      <c r="A210" s="15" t="s">
        <v>621</v>
      </c>
      <c r="B210" s="16" t="s">
        <v>622</v>
      </c>
      <c r="C210" s="17" t="s">
        <v>32</v>
      </c>
      <c r="D210" s="16" t="s">
        <v>29</v>
      </c>
      <c r="E210" s="16" t="s">
        <v>623</v>
      </c>
      <c r="F210" s="16" t="s">
        <v>559</v>
      </c>
      <c r="G210" s="18">
        <v>7773</v>
      </c>
      <c r="H210" s="19" t="str">
        <f>ROUND((7773/100*(100-M16)),0)</f>
        <v>0</v>
      </c>
      <c r="I210" s="14">
        <v>1</v>
      </c>
      <c r="J210" s="16" t="s">
        <v>129</v>
      </c>
      <c r="K210" s="16" t="s">
        <v>36</v>
      </c>
      <c r="L210" s="16"/>
      <c r="M210" s="16" t="str">
        <f>IF(L210="","",H210*L210)</f>
        <v>0</v>
      </c>
    </row>
    <row r="211" spans="1:13">
      <c r="A211" s="15" t="s">
        <v>624</v>
      </c>
      <c r="B211" s="16" t="s">
        <v>625</v>
      </c>
      <c r="C211" s="17" t="s">
        <v>32</v>
      </c>
      <c r="D211" s="16" t="s">
        <v>29</v>
      </c>
      <c r="E211" s="16" t="s">
        <v>626</v>
      </c>
      <c r="F211" s="16" t="s">
        <v>559</v>
      </c>
      <c r="G211" s="18">
        <v>9990</v>
      </c>
      <c r="H211" s="19" t="str">
        <f>ROUND((9990/100*(100-M16)),0)</f>
        <v>0</v>
      </c>
      <c r="I211" s="14">
        <v>3</v>
      </c>
      <c r="J211" s="16" t="s">
        <v>129</v>
      </c>
      <c r="K211" s="16" t="s">
        <v>36</v>
      </c>
      <c r="L211" s="16"/>
      <c r="M211" s="16" t="str">
        <f>IF(L211="","",H211*L211)</f>
        <v>0</v>
      </c>
    </row>
    <row r="212" spans="1:13">
      <c r="A212" s="15" t="s">
        <v>627</v>
      </c>
      <c r="B212" s="16" t="s">
        <v>628</v>
      </c>
      <c r="C212" s="17" t="s">
        <v>32</v>
      </c>
      <c r="D212" s="16" t="s">
        <v>29</v>
      </c>
      <c r="E212" s="16" t="s">
        <v>629</v>
      </c>
      <c r="F212" s="16" t="s">
        <v>559</v>
      </c>
      <c r="G212" s="18">
        <v>2987</v>
      </c>
      <c r="H212" s="19" t="str">
        <f>ROUND((2987/100*(100-M16)),0)</f>
        <v>0</v>
      </c>
      <c r="I212" s="14">
        <v>5</v>
      </c>
      <c r="J212" s="16" t="s">
        <v>47</v>
      </c>
      <c r="K212" s="16" t="s">
        <v>36</v>
      </c>
      <c r="L212" s="16"/>
      <c r="M212" s="16" t="str">
        <f>IF(L212="","",H212*L212)</f>
        <v>0</v>
      </c>
    </row>
    <row r="213" spans="1:13">
      <c r="A213" s="15" t="s">
        <v>630</v>
      </c>
      <c r="B213" s="16" t="s">
        <v>631</v>
      </c>
      <c r="C213" s="17" t="s">
        <v>32</v>
      </c>
      <c r="D213" s="16" t="s">
        <v>29</v>
      </c>
      <c r="E213" s="16" t="s">
        <v>632</v>
      </c>
      <c r="F213" s="16" t="s">
        <v>559</v>
      </c>
      <c r="G213" s="18">
        <v>3900</v>
      </c>
      <c r="H213" s="19" t="str">
        <f>ROUND((3900/100*(100-M16)),0)</f>
        <v>0</v>
      </c>
      <c r="I213" s="14">
        <v>10</v>
      </c>
      <c r="J213" s="16" t="s">
        <v>69</v>
      </c>
      <c r="K213" s="16" t="s">
        <v>36</v>
      </c>
      <c r="L213" s="16"/>
      <c r="M213" s="16" t="str">
        <f>IF(L213="","",H213*L213)</f>
        <v>0</v>
      </c>
    </row>
    <row r="214" spans="1:13">
      <c r="A214" s="15" t="s">
        <v>633</v>
      </c>
      <c r="B214" s="16" t="s">
        <v>634</v>
      </c>
      <c r="C214" s="17" t="s">
        <v>32</v>
      </c>
      <c r="D214" s="16" t="s">
        <v>29</v>
      </c>
      <c r="E214" s="16" t="s">
        <v>635</v>
      </c>
      <c r="F214" s="16" t="s">
        <v>559</v>
      </c>
      <c r="G214" s="18">
        <v>2933</v>
      </c>
      <c r="H214" s="19" t="str">
        <f>ROUND((2933/100*(100-M16)),0)</f>
        <v>0</v>
      </c>
      <c r="I214" s="14">
        <v>9</v>
      </c>
      <c r="J214" s="16" t="s">
        <v>69</v>
      </c>
      <c r="K214" s="16" t="s">
        <v>36</v>
      </c>
      <c r="L214" s="16"/>
      <c r="M214" s="16" t="str">
        <f>IF(L214="","",H214*L214)</f>
        <v>0</v>
      </c>
    </row>
    <row r="215" spans="1:13">
      <c r="A215" s="15" t="s">
        <v>636</v>
      </c>
      <c r="B215" s="16" t="s">
        <v>637</v>
      </c>
      <c r="C215" s="17" t="s">
        <v>32</v>
      </c>
      <c r="D215" s="16" t="s">
        <v>29</v>
      </c>
      <c r="E215" s="16" t="s">
        <v>638</v>
      </c>
      <c r="F215" s="16" t="s">
        <v>639</v>
      </c>
      <c r="G215" s="18">
        <v>290</v>
      </c>
      <c r="H215" s="19" t="str">
        <f>ROUND((290/100*(100-M16)),0)</f>
        <v>0</v>
      </c>
      <c r="I215" s="14">
        <v>165</v>
      </c>
      <c r="J215" s="16" t="s">
        <v>640</v>
      </c>
      <c r="K215" s="16" t="s">
        <v>36</v>
      </c>
      <c r="L215" s="16"/>
      <c r="M215" s="16" t="str">
        <f>IF(L215="","",H215*L215)</f>
        <v>0</v>
      </c>
    </row>
    <row r="216" spans="1:13">
      <c r="A216" s="15" t="s">
        <v>641</v>
      </c>
      <c r="B216" s="16" t="s">
        <v>642</v>
      </c>
      <c r="C216" s="17" t="s">
        <v>32</v>
      </c>
      <c r="D216" s="16" t="s">
        <v>29</v>
      </c>
      <c r="E216" s="16" t="s">
        <v>643</v>
      </c>
      <c r="F216" s="16" t="s">
        <v>639</v>
      </c>
      <c r="G216" s="18">
        <v>920</v>
      </c>
      <c r="H216" s="19" t="str">
        <f>ROUND((920/100*(100-M16)),0)</f>
        <v>0</v>
      </c>
      <c r="I216" s="14">
        <v>1</v>
      </c>
      <c r="J216" s="16" t="s">
        <v>644</v>
      </c>
      <c r="K216" s="16" t="s">
        <v>36</v>
      </c>
      <c r="L216" s="16"/>
      <c r="M216" s="16" t="str">
        <f>IF(L216="","",H216*L216)</f>
        <v>0</v>
      </c>
    </row>
    <row r="217" spans="1:13">
      <c r="A217" s="15" t="s">
        <v>645</v>
      </c>
      <c r="B217" s="16" t="s">
        <v>646</v>
      </c>
      <c r="C217" s="17" t="s">
        <v>32</v>
      </c>
      <c r="D217" s="16" t="s">
        <v>29</v>
      </c>
      <c r="E217" s="16" t="s">
        <v>647</v>
      </c>
      <c r="F217" s="16" t="s">
        <v>639</v>
      </c>
      <c r="G217" s="18">
        <v>1535</v>
      </c>
      <c r="H217" s="19" t="str">
        <f>ROUND((1535/100*(100-M16)),0)</f>
        <v>0</v>
      </c>
      <c r="I217" s="14">
        <v>10</v>
      </c>
      <c r="J217" s="16" t="s">
        <v>51</v>
      </c>
      <c r="K217" s="16" t="s">
        <v>36</v>
      </c>
      <c r="L217" s="16"/>
      <c r="M217" s="16" t="str">
        <f>IF(L217="","",H217*L217)</f>
        <v>0</v>
      </c>
    </row>
    <row r="218" spans="1:13">
      <c r="A218" s="15" t="s">
        <v>648</v>
      </c>
      <c r="B218" s="16" t="s">
        <v>649</v>
      </c>
      <c r="C218" s="17" t="s">
        <v>32</v>
      </c>
      <c r="D218" s="16" t="s">
        <v>29</v>
      </c>
      <c r="E218" s="16" t="s">
        <v>650</v>
      </c>
      <c r="F218" s="16" t="s">
        <v>639</v>
      </c>
      <c r="G218" s="18">
        <v>1856</v>
      </c>
      <c r="H218" s="19" t="str">
        <f>ROUND((1856/100*(100-M16)),0)</f>
        <v>0</v>
      </c>
      <c r="I218" s="14">
        <v>32</v>
      </c>
      <c r="J218" s="16" t="s">
        <v>62</v>
      </c>
      <c r="K218" s="16" t="s">
        <v>36</v>
      </c>
      <c r="L218" s="16"/>
      <c r="M218" s="16" t="str">
        <f>IF(L218="","",H218*L218)</f>
        <v>0</v>
      </c>
    </row>
    <row r="219" spans="1:13">
      <c r="A219" s="15" t="s">
        <v>651</v>
      </c>
      <c r="B219" s="20" t="s">
        <v>652</v>
      </c>
      <c r="C219" s="17" t="s">
        <v>32</v>
      </c>
      <c r="D219" s="20" t="s">
        <v>87</v>
      </c>
      <c r="E219" s="20" t="s">
        <v>653</v>
      </c>
      <c r="F219" s="20" t="s">
        <v>639</v>
      </c>
      <c r="G219" s="18">
        <v>3050</v>
      </c>
      <c r="H219" s="19" t="str">
        <f>ROUND((3050/100*(100-M16)),0)</f>
        <v>0</v>
      </c>
      <c r="I219" s="14">
        <v>3</v>
      </c>
      <c r="J219" s="16" t="s">
        <v>47</v>
      </c>
      <c r="K219" s="16" t="s">
        <v>36</v>
      </c>
      <c r="L219" s="16"/>
      <c r="M219" s="16" t="str">
        <f>IF(L219="","",H219*L219)</f>
        <v>0</v>
      </c>
    </row>
    <row r="220" spans="1:13">
      <c r="A220" s="15" t="s">
        <v>654</v>
      </c>
      <c r="B220" s="16" t="s">
        <v>655</v>
      </c>
      <c r="C220" s="17"/>
      <c r="D220" s="16" t="s">
        <v>29</v>
      </c>
      <c r="E220" s="16" t="s">
        <v>656</v>
      </c>
      <c r="F220" s="16" t="s">
        <v>639</v>
      </c>
      <c r="G220" s="18">
        <v>924</v>
      </c>
      <c r="H220" s="19" t="str">
        <f>ROUND((924/100*(100-M16)),0)</f>
        <v>0</v>
      </c>
      <c r="I220" s="14">
        <v>19</v>
      </c>
      <c r="J220" s="16" t="s">
        <v>657</v>
      </c>
      <c r="K220" s="16" t="s">
        <v>36</v>
      </c>
      <c r="L220" s="16"/>
      <c r="M220" s="16" t="str">
        <f>IF(L220="","",H220*L220)</f>
        <v>0</v>
      </c>
    </row>
    <row r="221" spans="1:13">
      <c r="A221" s="15" t="s">
        <v>658</v>
      </c>
      <c r="B221" s="20" t="s">
        <v>659</v>
      </c>
      <c r="C221" s="17"/>
      <c r="D221" s="20" t="s">
        <v>87</v>
      </c>
      <c r="E221" s="20" t="s">
        <v>660</v>
      </c>
      <c r="F221" s="20" t="s">
        <v>639</v>
      </c>
      <c r="G221" s="18">
        <v>468</v>
      </c>
      <c r="H221" s="19" t="str">
        <f>ROUND((468/100*(100-M16)),0)</f>
        <v>0</v>
      </c>
      <c r="I221" s="14">
        <v>77</v>
      </c>
      <c r="J221" s="16" t="s">
        <v>661</v>
      </c>
      <c r="K221" s="16" t="s">
        <v>662</v>
      </c>
      <c r="L221" s="16"/>
      <c r="M221" s="16" t="str">
        <f>IF(L221="","",H221*L221)</f>
        <v>0</v>
      </c>
    </row>
    <row r="222" spans="1:13">
      <c r="A222" s="15" t="s">
        <v>663</v>
      </c>
      <c r="B222" s="16" t="s">
        <v>664</v>
      </c>
      <c r="C222" s="17" t="s">
        <v>32</v>
      </c>
      <c r="D222" s="16" t="s">
        <v>29</v>
      </c>
      <c r="E222" s="16" t="s">
        <v>665</v>
      </c>
      <c r="F222" s="16" t="s">
        <v>639</v>
      </c>
      <c r="G222" s="18">
        <v>1900</v>
      </c>
      <c r="H222" s="19" t="str">
        <f>ROUND((1900/100*(100-M16)),0)</f>
        <v>0</v>
      </c>
      <c r="I222" s="14">
        <v>12</v>
      </c>
      <c r="J222" s="16" t="s">
        <v>62</v>
      </c>
      <c r="K222" s="16" t="s">
        <v>36</v>
      </c>
      <c r="L222" s="16"/>
      <c r="M222" s="16" t="str">
        <f>IF(L222="","",H222*L222)</f>
        <v>0</v>
      </c>
    </row>
    <row r="223" spans="1:13">
      <c r="A223" s="15" t="s">
        <v>666</v>
      </c>
      <c r="B223" s="20" t="s">
        <v>667</v>
      </c>
      <c r="C223" s="17" t="s">
        <v>32</v>
      </c>
      <c r="D223" s="20" t="s">
        <v>87</v>
      </c>
      <c r="E223" s="20" t="s">
        <v>668</v>
      </c>
      <c r="F223" s="20" t="s">
        <v>639</v>
      </c>
      <c r="G223" s="18">
        <v>7750</v>
      </c>
      <c r="H223" s="19" t="str">
        <f>ROUND((7750/100*(100-M16)),0)</f>
        <v>0</v>
      </c>
      <c r="I223" s="14">
        <v>14</v>
      </c>
      <c r="J223" s="16" t="s">
        <v>119</v>
      </c>
      <c r="K223" s="16" t="s">
        <v>36</v>
      </c>
      <c r="L223" s="16"/>
      <c r="M223" s="16" t="str">
        <f>IF(L223="","",H223*L223)</f>
        <v>0</v>
      </c>
    </row>
    <row r="224" spans="1:13">
      <c r="A224" s="15" t="s">
        <v>669</v>
      </c>
      <c r="B224" s="16" t="s">
        <v>670</v>
      </c>
      <c r="C224" s="17" t="s">
        <v>32</v>
      </c>
      <c r="D224" s="16" t="s">
        <v>29</v>
      </c>
      <c r="E224" s="16" t="s">
        <v>671</v>
      </c>
      <c r="F224" s="16" t="s">
        <v>639</v>
      </c>
      <c r="G224" s="18">
        <v>12000</v>
      </c>
      <c r="H224" s="19" t="str">
        <f>ROUND((12000/100*(100-M16)),0)</f>
        <v>0</v>
      </c>
      <c r="I224" s="14">
        <v>1</v>
      </c>
      <c r="J224" s="16" t="s">
        <v>129</v>
      </c>
      <c r="K224" s="16" t="s">
        <v>36</v>
      </c>
      <c r="L224" s="16"/>
      <c r="M224" s="16" t="str">
        <f>IF(L224="","",H224*L224)</f>
        <v>0</v>
      </c>
    </row>
    <row r="225" spans="1:13">
      <c r="A225" s="15" t="s">
        <v>672</v>
      </c>
      <c r="B225" s="16" t="s">
        <v>673</v>
      </c>
      <c r="C225" s="17" t="s">
        <v>32</v>
      </c>
      <c r="D225" s="16" t="s">
        <v>29</v>
      </c>
      <c r="E225" s="16" t="s">
        <v>674</v>
      </c>
      <c r="F225" s="16" t="s">
        <v>639</v>
      </c>
      <c r="G225" s="18">
        <v>11400</v>
      </c>
      <c r="H225" s="19" t="str">
        <f>ROUND((11400/100*(100-M16)),0)</f>
        <v>0</v>
      </c>
      <c r="I225" s="14">
        <v>1</v>
      </c>
      <c r="J225" s="16" t="s">
        <v>129</v>
      </c>
      <c r="K225" s="16" t="s">
        <v>36</v>
      </c>
      <c r="L225" s="16"/>
      <c r="M225" s="16" t="str">
        <f>IF(L225="","",H225*L225)</f>
        <v>0</v>
      </c>
    </row>
    <row r="226" spans="1:13">
      <c r="A226" s="15" t="s">
        <v>675</v>
      </c>
      <c r="B226" s="16" t="s">
        <v>676</v>
      </c>
      <c r="C226" s="17" t="s">
        <v>32</v>
      </c>
      <c r="D226" s="16" t="s">
        <v>29</v>
      </c>
      <c r="E226" s="16" t="s">
        <v>677</v>
      </c>
      <c r="F226" s="16" t="s">
        <v>639</v>
      </c>
      <c r="G226" s="18">
        <v>13000</v>
      </c>
      <c r="H226" s="19" t="str">
        <f>ROUND((13000/100*(100-M16)),0)</f>
        <v>0</v>
      </c>
      <c r="I226" s="14">
        <v>1</v>
      </c>
      <c r="J226" s="16" t="s">
        <v>129</v>
      </c>
      <c r="K226" s="16" t="s">
        <v>36</v>
      </c>
      <c r="L226" s="16"/>
      <c r="M226" s="16" t="str">
        <f>IF(L226="","",H226*L226)</f>
        <v>0</v>
      </c>
    </row>
    <row r="227" spans="1:13">
      <c r="A227" s="15" t="s">
        <v>678</v>
      </c>
      <c r="B227" s="16" t="s">
        <v>679</v>
      </c>
      <c r="C227" s="17" t="s">
        <v>32</v>
      </c>
      <c r="D227" s="16" t="s">
        <v>29</v>
      </c>
      <c r="E227" s="16" t="s">
        <v>680</v>
      </c>
      <c r="F227" s="16" t="s">
        <v>639</v>
      </c>
      <c r="G227" s="18">
        <v>13800</v>
      </c>
      <c r="H227" s="19" t="str">
        <f>ROUND((13800/100*(100-M16)),0)</f>
        <v>0</v>
      </c>
      <c r="I227" s="14">
        <v>2</v>
      </c>
      <c r="J227" s="16" t="s">
        <v>129</v>
      </c>
      <c r="K227" s="16" t="s">
        <v>36</v>
      </c>
      <c r="L227" s="16"/>
      <c r="M227" s="16" t="str">
        <f>IF(L227="","",H227*L227)</f>
        <v>0</v>
      </c>
    </row>
    <row r="228" spans="1:13">
      <c r="A228" s="15" t="s">
        <v>681</v>
      </c>
      <c r="B228" s="16" t="s">
        <v>682</v>
      </c>
      <c r="C228" s="17" t="s">
        <v>32</v>
      </c>
      <c r="D228" s="16" t="s">
        <v>29</v>
      </c>
      <c r="E228" s="16" t="s">
        <v>683</v>
      </c>
      <c r="F228" s="16" t="s">
        <v>639</v>
      </c>
      <c r="G228" s="18">
        <v>10400</v>
      </c>
      <c r="H228" s="19" t="str">
        <f>ROUND((10400/100*(100-M16)),0)</f>
        <v>0</v>
      </c>
      <c r="I228" s="14">
        <v>1</v>
      </c>
      <c r="J228" s="16" t="s">
        <v>129</v>
      </c>
      <c r="K228" s="16" t="s">
        <v>36</v>
      </c>
      <c r="L228" s="16"/>
      <c r="M228" s="16" t="str">
        <f>IF(L228="","",H228*L228)</f>
        <v>0</v>
      </c>
    </row>
    <row r="229" spans="1:13">
      <c r="A229" s="15" t="s">
        <v>684</v>
      </c>
      <c r="B229" s="20" t="s">
        <v>685</v>
      </c>
      <c r="C229" s="17" t="s">
        <v>32</v>
      </c>
      <c r="D229" s="20" t="s">
        <v>87</v>
      </c>
      <c r="E229" s="20" t="s">
        <v>686</v>
      </c>
      <c r="F229" s="20" t="s">
        <v>687</v>
      </c>
      <c r="G229" s="18">
        <v>8100</v>
      </c>
      <c r="H229" s="19" t="str">
        <f>ROUND((8100/100*(100-M16)),0)</f>
        <v>0</v>
      </c>
      <c r="I229" s="14">
        <v>10</v>
      </c>
      <c r="J229" s="16" t="s">
        <v>119</v>
      </c>
      <c r="K229" s="16" t="s">
        <v>36</v>
      </c>
      <c r="L229" s="16"/>
      <c r="M229" s="16" t="str">
        <f>IF(L229="","",H229*L229)</f>
        <v>0</v>
      </c>
    </row>
    <row r="230" spans="1:13">
      <c r="A230" s="15" t="s">
        <v>688</v>
      </c>
      <c r="B230" s="16" t="s">
        <v>689</v>
      </c>
      <c r="C230" s="17" t="s">
        <v>32</v>
      </c>
      <c r="D230" s="16" t="s">
        <v>29</v>
      </c>
      <c r="E230" s="16" t="s">
        <v>690</v>
      </c>
      <c r="F230" s="16" t="s">
        <v>687</v>
      </c>
      <c r="G230" s="18">
        <v>495</v>
      </c>
      <c r="H230" s="19" t="str">
        <f>ROUND((495/100*(100-M16)),0)</f>
        <v>0</v>
      </c>
      <c r="I230" s="14">
        <v>1</v>
      </c>
      <c r="J230" s="16" t="s">
        <v>691</v>
      </c>
      <c r="K230" s="16" t="s">
        <v>36</v>
      </c>
      <c r="L230" s="16"/>
      <c r="M230" s="16" t="str">
        <f>IF(L230="","",H230*L230)</f>
        <v>0</v>
      </c>
    </row>
    <row r="231" spans="1:13">
      <c r="A231" s="15" t="s">
        <v>692</v>
      </c>
      <c r="B231" s="16" t="s">
        <v>693</v>
      </c>
      <c r="C231" s="17" t="s">
        <v>32</v>
      </c>
      <c r="D231" s="16" t="s">
        <v>29</v>
      </c>
      <c r="E231" s="16" t="s">
        <v>694</v>
      </c>
      <c r="F231" s="16" t="s">
        <v>695</v>
      </c>
      <c r="G231" s="18">
        <v>310</v>
      </c>
      <c r="H231" s="19" t="str">
        <f>ROUND((310/100*(100-M16)),0)</f>
        <v>0</v>
      </c>
      <c r="I231" s="14">
        <v>521</v>
      </c>
      <c r="J231" s="16" t="s">
        <v>640</v>
      </c>
      <c r="K231" s="16" t="s">
        <v>36</v>
      </c>
      <c r="L231" s="16"/>
      <c r="M231" s="16" t="str">
        <f>IF(L231="","",H231*L231)</f>
        <v>0</v>
      </c>
    </row>
    <row r="232" spans="1:13">
      <c r="A232" s="15" t="s">
        <v>696</v>
      </c>
      <c r="B232" s="20" t="s">
        <v>697</v>
      </c>
      <c r="C232" s="17" t="s">
        <v>32</v>
      </c>
      <c r="D232" s="20" t="s">
        <v>87</v>
      </c>
      <c r="E232" s="20" t="s">
        <v>698</v>
      </c>
      <c r="F232" s="20" t="s">
        <v>695</v>
      </c>
      <c r="G232" s="18">
        <v>10388</v>
      </c>
      <c r="H232" s="19" t="str">
        <f>ROUND((10388/100*(100-M16)),0)</f>
        <v>0</v>
      </c>
      <c r="I232" s="14">
        <v>1</v>
      </c>
      <c r="J232" s="16" t="s">
        <v>129</v>
      </c>
      <c r="K232" s="16" t="s">
        <v>36</v>
      </c>
      <c r="L232" s="16"/>
      <c r="M232" s="16" t="str">
        <f>IF(L232="","",H232*L232)</f>
        <v>0</v>
      </c>
    </row>
    <row r="233" spans="1:13">
      <c r="A233" s="15" t="s">
        <v>699</v>
      </c>
      <c r="B233" s="16" t="s">
        <v>700</v>
      </c>
      <c r="C233" s="17" t="s">
        <v>32</v>
      </c>
      <c r="D233" s="16" t="s">
        <v>29</v>
      </c>
      <c r="E233" s="16" t="s">
        <v>701</v>
      </c>
      <c r="F233" s="16" t="s">
        <v>695</v>
      </c>
      <c r="G233" s="18">
        <v>902</v>
      </c>
      <c r="H233" s="19" t="str">
        <f>ROUND((902/100*(100-M16)),0)</f>
        <v>0</v>
      </c>
      <c r="I233" s="14">
        <v>9</v>
      </c>
      <c r="J233" s="16" t="s">
        <v>644</v>
      </c>
      <c r="K233" s="16" t="s">
        <v>36</v>
      </c>
      <c r="L233" s="16"/>
      <c r="M233" s="16" t="str">
        <f>IF(L233="","",H233*L233)</f>
        <v>0</v>
      </c>
    </row>
    <row r="234" spans="1:13">
      <c r="A234" s="15" t="s">
        <v>702</v>
      </c>
      <c r="B234" s="16" t="s">
        <v>703</v>
      </c>
      <c r="C234" s="17" t="s">
        <v>32</v>
      </c>
      <c r="D234" s="16" t="s">
        <v>29</v>
      </c>
      <c r="E234" s="16" t="s">
        <v>704</v>
      </c>
      <c r="F234" s="16" t="s">
        <v>695</v>
      </c>
      <c r="G234" s="18">
        <v>292</v>
      </c>
      <c r="H234" s="19" t="str">
        <f>ROUND((292/100*(100-M16)),0)</f>
        <v>0</v>
      </c>
      <c r="I234" s="14">
        <v>158</v>
      </c>
      <c r="J234" s="16" t="s">
        <v>705</v>
      </c>
      <c r="K234" s="16" t="s">
        <v>36</v>
      </c>
      <c r="L234" s="16"/>
      <c r="M234" s="16" t="str">
        <f>IF(L234="","",H234*L234)</f>
        <v>0</v>
      </c>
    </row>
    <row r="235" spans="1:13">
      <c r="A235" s="15" t="s">
        <v>706</v>
      </c>
      <c r="B235" s="16" t="s">
        <v>707</v>
      </c>
      <c r="C235" s="17" t="s">
        <v>32</v>
      </c>
      <c r="D235" s="16" t="s">
        <v>29</v>
      </c>
      <c r="E235" s="16" t="s">
        <v>708</v>
      </c>
      <c r="F235" s="16" t="s">
        <v>695</v>
      </c>
      <c r="G235" s="18">
        <v>646</v>
      </c>
      <c r="H235" s="19" t="str">
        <f>ROUND((646/100*(100-M16)),0)</f>
        <v>0</v>
      </c>
      <c r="I235" s="14">
        <v>9</v>
      </c>
      <c r="J235" s="16" t="s">
        <v>35</v>
      </c>
      <c r="K235" s="16" t="s">
        <v>36</v>
      </c>
      <c r="L235" s="16"/>
      <c r="M235" s="16" t="str">
        <f>IF(L235="","",H235*L235)</f>
        <v>0</v>
      </c>
    </row>
    <row r="236" spans="1:13">
      <c r="A236" s="15" t="s">
        <v>709</v>
      </c>
      <c r="B236" s="16" t="s">
        <v>710</v>
      </c>
      <c r="C236" s="17" t="s">
        <v>32</v>
      </c>
      <c r="D236" s="16" t="s">
        <v>29</v>
      </c>
      <c r="E236" s="16" t="s">
        <v>711</v>
      </c>
      <c r="F236" s="16" t="s">
        <v>695</v>
      </c>
      <c r="G236" s="18">
        <v>6263</v>
      </c>
      <c r="H236" s="19" t="str">
        <f>ROUND((6263/100*(100-M16)),0)</f>
        <v>0</v>
      </c>
      <c r="I236" s="14">
        <v>2</v>
      </c>
      <c r="J236" s="16" t="s">
        <v>69</v>
      </c>
      <c r="K236" s="16" t="s">
        <v>36</v>
      </c>
      <c r="L236" s="16"/>
      <c r="M236" s="16" t="str">
        <f>IF(L236="","",H236*L236)</f>
        <v>0</v>
      </c>
    </row>
    <row r="237" spans="1:13">
      <c r="A237" s="15" t="s">
        <v>712</v>
      </c>
      <c r="B237" s="20" t="s">
        <v>713</v>
      </c>
      <c r="C237" s="17" t="s">
        <v>32</v>
      </c>
      <c r="D237" s="20" t="s">
        <v>87</v>
      </c>
      <c r="E237" s="20" t="s">
        <v>714</v>
      </c>
      <c r="F237" s="20" t="s">
        <v>715</v>
      </c>
      <c r="G237" s="18">
        <v>3543</v>
      </c>
      <c r="H237" s="19" t="str">
        <f>ROUND((3543/100*(100-M16)),0)</f>
        <v>0</v>
      </c>
      <c r="I237" s="14">
        <v>40</v>
      </c>
      <c r="J237" s="16" t="s">
        <v>62</v>
      </c>
      <c r="K237" s="16" t="s">
        <v>36</v>
      </c>
      <c r="L237" s="16"/>
      <c r="M237" s="16" t="str">
        <f>IF(L237="","",H237*L237)</f>
        <v>0</v>
      </c>
    </row>
    <row r="238" spans="1:13">
      <c r="A238" s="15" t="s">
        <v>716</v>
      </c>
      <c r="B238" s="20" t="s">
        <v>717</v>
      </c>
      <c r="C238" s="17" t="s">
        <v>32</v>
      </c>
      <c r="D238" s="20" t="s">
        <v>87</v>
      </c>
      <c r="E238" s="20" t="s">
        <v>718</v>
      </c>
      <c r="F238" s="20" t="s">
        <v>715</v>
      </c>
      <c r="G238" s="18">
        <v>8060</v>
      </c>
      <c r="H238" s="19" t="str">
        <f>ROUND((8060/100*(100-M16)),0)</f>
        <v>0</v>
      </c>
      <c r="I238" s="14">
        <v>20</v>
      </c>
      <c r="J238" s="16" t="s">
        <v>119</v>
      </c>
      <c r="K238" s="16" t="s">
        <v>36</v>
      </c>
      <c r="L238" s="16"/>
      <c r="M238" s="16" t="str">
        <f>IF(L238="","",H238*L238)</f>
        <v>0</v>
      </c>
    </row>
    <row r="239" spans="1:13">
      <c r="A239" s="15" t="s">
        <v>719</v>
      </c>
      <c r="B239" s="20" t="s">
        <v>720</v>
      </c>
      <c r="C239" s="17" t="s">
        <v>32</v>
      </c>
      <c r="D239" s="20" t="s">
        <v>87</v>
      </c>
      <c r="E239" s="20" t="s">
        <v>721</v>
      </c>
      <c r="F239" s="20" t="s">
        <v>715</v>
      </c>
      <c r="G239" s="18">
        <v>9722</v>
      </c>
      <c r="H239" s="19" t="str">
        <f>ROUND((9722/100*(100-M16)),0)</f>
        <v>0</v>
      </c>
      <c r="I239" s="14">
        <v>2</v>
      </c>
      <c r="J239" s="16" t="s">
        <v>129</v>
      </c>
      <c r="K239" s="16" t="s">
        <v>36</v>
      </c>
      <c r="L239" s="16"/>
      <c r="M239" s="16" t="str">
        <f>IF(L239="","",H239*L239)</f>
        <v>0</v>
      </c>
    </row>
    <row r="240" spans="1:13">
      <c r="A240" s="15" t="s">
        <v>722</v>
      </c>
      <c r="B240" s="20" t="s">
        <v>723</v>
      </c>
      <c r="C240" s="17" t="s">
        <v>32</v>
      </c>
      <c r="D240" s="20" t="s">
        <v>87</v>
      </c>
      <c r="E240" s="20" t="s">
        <v>724</v>
      </c>
      <c r="F240" s="20" t="s">
        <v>715</v>
      </c>
      <c r="G240" s="18">
        <v>8743</v>
      </c>
      <c r="H240" s="19" t="str">
        <f>ROUND((8743/100*(100-M16)),0)</f>
        <v>0</v>
      </c>
      <c r="I240" s="14">
        <v>1</v>
      </c>
      <c r="J240" s="16" t="s">
        <v>129</v>
      </c>
      <c r="K240" s="16" t="s">
        <v>36</v>
      </c>
      <c r="L240" s="16"/>
      <c r="M240" s="16" t="str">
        <f>IF(L240="","",H240*L240)</f>
        <v>0</v>
      </c>
    </row>
    <row r="241" spans="1:13">
      <c r="A241" s="15" t="s">
        <v>725</v>
      </c>
      <c r="B241" s="20" t="s">
        <v>726</v>
      </c>
      <c r="C241" s="17" t="s">
        <v>32</v>
      </c>
      <c r="D241" s="20" t="s">
        <v>87</v>
      </c>
      <c r="E241" s="20" t="s">
        <v>727</v>
      </c>
      <c r="F241" s="20" t="s">
        <v>715</v>
      </c>
      <c r="G241" s="18">
        <v>21406</v>
      </c>
      <c r="H241" s="19" t="str">
        <f>ROUND((21406/100*(100-M16)),0)</f>
        <v>0</v>
      </c>
      <c r="I241" s="14">
        <v>3</v>
      </c>
      <c r="J241" s="16" t="s">
        <v>129</v>
      </c>
      <c r="K241" s="16" t="s">
        <v>36</v>
      </c>
      <c r="L241" s="16"/>
      <c r="M241" s="16" t="str">
        <f>IF(L241="","",H241*L241)</f>
        <v>0</v>
      </c>
    </row>
    <row r="242" spans="1:13">
      <c r="A242" s="15" t="s">
        <v>728</v>
      </c>
      <c r="B242" s="20" t="s">
        <v>729</v>
      </c>
      <c r="C242" s="17" t="s">
        <v>32</v>
      </c>
      <c r="D242" s="20" t="s">
        <v>87</v>
      </c>
      <c r="E242" s="20" t="s">
        <v>730</v>
      </c>
      <c r="F242" s="20" t="s">
        <v>715</v>
      </c>
      <c r="G242" s="18">
        <v>6019</v>
      </c>
      <c r="H242" s="19" t="str">
        <f>ROUND((6019/100*(100-M16)),0)</f>
        <v>0</v>
      </c>
      <c r="I242" s="14">
        <v>17</v>
      </c>
      <c r="J242" s="16" t="s">
        <v>69</v>
      </c>
      <c r="K242" s="16" t="s">
        <v>36</v>
      </c>
      <c r="L242" s="16"/>
      <c r="M242" s="16" t="str">
        <f>IF(L242="","",H242*L242)</f>
        <v>0</v>
      </c>
    </row>
    <row r="243" spans="1:13">
      <c r="A243" s="15" t="s">
        <v>731</v>
      </c>
      <c r="B243" s="20" t="s">
        <v>732</v>
      </c>
      <c r="C243" s="17" t="s">
        <v>32</v>
      </c>
      <c r="D243" s="20" t="s">
        <v>87</v>
      </c>
      <c r="E243" s="20" t="s">
        <v>733</v>
      </c>
      <c r="F243" s="20" t="s">
        <v>715</v>
      </c>
      <c r="G243" s="18">
        <v>6095</v>
      </c>
      <c r="H243" s="19" t="str">
        <f>ROUND((6095/100*(100-M16)),0)</f>
        <v>0</v>
      </c>
      <c r="I243" s="14">
        <v>18</v>
      </c>
      <c r="J243" s="16" t="s">
        <v>119</v>
      </c>
      <c r="K243" s="16" t="s">
        <v>36</v>
      </c>
      <c r="L243" s="16"/>
      <c r="M243" s="16" t="str">
        <f>IF(L243="","",H243*L243)</f>
        <v>0</v>
      </c>
    </row>
    <row r="244" spans="1:13">
      <c r="A244" s="15" t="s">
        <v>734</v>
      </c>
      <c r="B244" s="20" t="s">
        <v>735</v>
      </c>
      <c r="C244" s="17" t="s">
        <v>32</v>
      </c>
      <c r="D244" s="20" t="s">
        <v>87</v>
      </c>
      <c r="E244" s="20" t="s">
        <v>736</v>
      </c>
      <c r="F244" s="20" t="s">
        <v>715</v>
      </c>
      <c r="G244" s="18">
        <v>6095</v>
      </c>
      <c r="H244" s="19" t="str">
        <f>ROUND((6095/100*(100-M16)),0)</f>
        <v>0</v>
      </c>
      <c r="I244" s="14">
        <v>16</v>
      </c>
      <c r="J244" s="16" t="s">
        <v>119</v>
      </c>
      <c r="K244" s="16" t="s">
        <v>36</v>
      </c>
      <c r="L244" s="16"/>
      <c r="M244" s="16" t="str">
        <f>IF(L244="","",H244*L244)</f>
        <v>0</v>
      </c>
    </row>
    <row r="245" spans="1:13">
      <c r="A245" s="15" t="s">
        <v>737</v>
      </c>
      <c r="B245" s="20" t="s">
        <v>738</v>
      </c>
      <c r="C245" s="17" t="s">
        <v>32</v>
      </c>
      <c r="D245" s="20" t="s">
        <v>87</v>
      </c>
      <c r="E245" s="20" t="s">
        <v>739</v>
      </c>
      <c r="F245" s="20" t="s">
        <v>715</v>
      </c>
      <c r="G245" s="18">
        <v>6181</v>
      </c>
      <c r="H245" s="19" t="str">
        <f>ROUND((6181/100*(100-M16)),0)</f>
        <v>0</v>
      </c>
      <c r="I245" s="14">
        <v>21</v>
      </c>
      <c r="J245" s="16" t="s">
        <v>69</v>
      </c>
      <c r="K245" s="16" t="s">
        <v>36</v>
      </c>
      <c r="L245" s="16"/>
      <c r="M245" s="16" t="str">
        <f>IF(L245="","",H245*L245)</f>
        <v>0</v>
      </c>
    </row>
    <row r="246" spans="1:13">
      <c r="A246" s="15" t="s">
        <v>740</v>
      </c>
      <c r="B246" s="20" t="s">
        <v>741</v>
      </c>
      <c r="C246" s="17" t="s">
        <v>32</v>
      </c>
      <c r="D246" s="20" t="s">
        <v>87</v>
      </c>
      <c r="E246" s="20" t="s">
        <v>742</v>
      </c>
      <c r="F246" s="20" t="s">
        <v>715</v>
      </c>
      <c r="G246" s="18">
        <v>20411</v>
      </c>
      <c r="H246" s="19" t="str">
        <f>ROUND((20411/100*(100-M16)),0)</f>
        <v>0</v>
      </c>
      <c r="I246" s="14">
        <v>1</v>
      </c>
      <c r="J246" s="16" t="s">
        <v>139</v>
      </c>
      <c r="K246" s="16" t="s">
        <v>36</v>
      </c>
      <c r="L246" s="16"/>
      <c r="M246" s="16" t="str">
        <f>IF(L246="","",H246*L246)</f>
        <v>0</v>
      </c>
    </row>
    <row r="247" spans="1:13">
      <c r="A247" s="15" t="s">
        <v>743</v>
      </c>
      <c r="B247" s="20" t="s">
        <v>744</v>
      </c>
      <c r="C247" s="17" t="s">
        <v>32</v>
      </c>
      <c r="D247" s="20" t="s">
        <v>87</v>
      </c>
      <c r="E247" s="20" t="s">
        <v>745</v>
      </c>
      <c r="F247" s="20" t="s">
        <v>715</v>
      </c>
      <c r="G247" s="18">
        <v>24748</v>
      </c>
      <c r="H247" s="19" t="str">
        <f>ROUND((24748/100*(100-M16)),0)</f>
        <v>0</v>
      </c>
      <c r="I247" s="14">
        <v>4</v>
      </c>
      <c r="J247" s="16" t="s">
        <v>139</v>
      </c>
      <c r="K247" s="16" t="s">
        <v>36</v>
      </c>
      <c r="L247" s="16"/>
      <c r="M247" s="16" t="str">
        <f>IF(L247="","",H247*L247)</f>
        <v>0</v>
      </c>
    </row>
    <row r="248" spans="1:13">
      <c r="A248" s="15" t="s">
        <v>746</v>
      </c>
      <c r="B248" s="16" t="s">
        <v>747</v>
      </c>
      <c r="C248" s="17" t="s">
        <v>32</v>
      </c>
      <c r="D248" s="16" t="s">
        <v>29</v>
      </c>
      <c r="E248" s="16" t="s">
        <v>748</v>
      </c>
      <c r="F248" s="16" t="s">
        <v>749</v>
      </c>
      <c r="G248" s="18">
        <v>11900</v>
      </c>
      <c r="H248" s="19" t="str">
        <f>ROUND((11900/100*(100-M16)),0)</f>
        <v>0</v>
      </c>
      <c r="I248" s="14">
        <v>3</v>
      </c>
      <c r="J248" s="16" t="s">
        <v>129</v>
      </c>
      <c r="K248" s="16" t="s">
        <v>36</v>
      </c>
      <c r="L248" s="16"/>
      <c r="M248" s="16" t="str">
        <f>IF(L248="","",H248*L248)</f>
        <v>0</v>
      </c>
    </row>
    <row r="249" spans="1:13">
      <c r="A249" s="15" t="s">
        <v>750</v>
      </c>
      <c r="B249" s="16" t="s">
        <v>751</v>
      </c>
      <c r="C249" s="17" t="s">
        <v>32</v>
      </c>
      <c r="D249" s="16" t="s">
        <v>29</v>
      </c>
      <c r="E249" s="16" t="s">
        <v>752</v>
      </c>
      <c r="F249" s="16" t="s">
        <v>749</v>
      </c>
      <c r="G249" s="18">
        <v>19800</v>
      </c>
      <c r="H249" s="19" t="str">
        <f>ROUND((19800/100*(100-M16)),0)</f>
        <v>0</v>
      </c>
      <c r="I249" s="14">
        <v>1</v>
      </c>
      <c r="J249" s="16" t="s">
        <v>129</v>
      </c>
      <c r="K249" s="16" t="s">
        <v>36</v>
      </c>
      <c r="L249" s="16"/>
      <c r="M249" s="16" t="str">
        <f>IF(L249="","",H249*L249)</f>
        <v>0</v>
      </c>
    </row>
    <row r="250" spans="1:13">
      <c r="A250" s="15"/>
      <c r="B250" s="16"/>
      <c r="C250" s="17"/>
      <c r="D250" s="16"/>
      <c r="E250" s="16"/>
      <c r="F250" s="16"/>
      <c r="G250" s="18"/>
      <c r="H250" s="19"/>
      <c r="J250" s="16"/>
      <c r="K250" s="16"/>
      <c r="L250" s="16"/>
      <c r="M250" s="16"/>
    </row>
    <row r="251" spans="1:13">
      <c r="A251" s="1" t="s">
        <v>0</v>
      </c>
      <c r="B251" s="1" t="s">
        <v>1</v>
      </c>
      <c r="C251" s="1" t="s">
        <v>2</v>
      </c>
      <c r="D251" s="1" t="s">
        <v>3</v>
      </c>
      <c r="E251" s="1" t="s">
        <v>4</v>
      </c>
      <c r="F251" s="1" t="s">
        <v>5</v>
      </c>
      <c r="G251" s="1" t="s">
        <v>6</v>
      </c>
      <c r="H251" s="1" t="s">
        <v>7</v>
      </c>
      <c r="I251" s="2" t="s">
        <v>8</v>
      </c>
      <c r="J251" s="1" t="s">
        <v>9</v>
      </c>
      <c r="K251" s="1" t="s">
        <v>10</v>
      </c>
      <c r="L251" s="3" t="s">
        <v>11</v>
      </c>
      <c r="M251" s="1" t="s">
        <v>12</v>
      </c>
    </row>
    <row r="252" spans="1:13">
      <c r="A252" s="13" t="s">
        <v>753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>
      <c r="A253" s="15" t="s">
        <v>754</v>
      </c>
      <c r="B253" s="16" t="s">
        <v>755</v>
      </c>
      <c r="C253" s="17" t="s">
        <v>32</v>
      </c>
      <c r="D253" s="16" t="s">
        <v>753</v>
      </c>
      <c r="E253" s="16" t="s">
        <v>756</v>
      </c>
      <c r="F253" s="16" t="s">
        <v>212</v>
      </c>
      <c r="G253" s="18">
        <v>8800</v>
      </c>
      <c r="H253" s="19" t="str">
        <f>ROUND((8800/100*(100-M16)),0)</f>
        <v>0</v>
      </c>
      <c r="I253" s="14">
        <v>1</v>
      </c>
      <c r="J253" s="16" t="s">
        <v>409</v>
      </c>
      <c r="K253" s="16" t="s">
        <v>36</v>
      </c>
      <c r="L253" s="16"/>
      <c r="M253" s="16" t="str">
        <f>IF(L253="","",H253*L253)</f>
        <v>0</v>
      </c>
    </row>
    <row r="254" spans="1:13">
      <c r="A254" s="15" t="s">
        <v>757</v>
      </c>
      <c r="B254" s="16" t="s">
        <v>758</v>
      </c>
      <c r="C254" s="17" t="s">
        <v>32</v>
      </c>
      <c r="D254" s="16" t="s">
        <v>753</v>
      </c>
      <c r="E254" s="16" t="s">
        <v>759</v>
      </c>
      <c r="F254" s="16" t="s">
        <v>695</v>
      </c>
      <c r="G254" s="18">
        <v>5330</v>
      </c>
      <c r="H254" s="19" t="str">
        <f>ROUND((5330/100*(100-M16)),0)</f>
        <v>0</v>
      </c>
      <c r="I254" s="14">
        <v>3</v>
      </c>
      <c r="J254" s="16" t="s">
        <v>69</v>
      </c>
      <c r="K254" s="16" t="s">
        <v>36</v>
      </c>
      <c r="L254" s="16"/>
      <c r="M254" s="16" t="str">
        <f>IF(L254="","",H254*L254)</f>
        <v>0</v>
      </c>
    </row>
    <row r="255" spans="1:13">
      <c r="A255" s="15" t="s">
        <v>760</v>
      </c>
      <c r="B255" s="16" t="s">
        <v>761</v>
      </c>
      <c r="C255" s="17"/>
      <c r="D255" s="16" t="s">
        <v>753</v>
      </c>
      <c r="E255" s="16" t="s">
        <v>762</v>
      </c>
      <c r="F255" s="16" t="s">
        <v>695</v>
      </c>
      <c r="G255" s="18">
        <v>5330</v>
      </c>
      <c r="H255" s="19" t="str">
        <f>ROUND((5330/100*(100-M16)),0)</f>
        <v>0</v>
      </c>
      <c r="I255" s="14">
        <v>10</v>
      </c>
      <c r="J255" s="16" t="s">
        <v>69</v>
      </c>
      <c r="K255" s="16" t="s">
        <v>36</v>
      </c>
      <c r="L255" s="16"/>
      <c r="M255" s="16" t="str">
        <f>IF(L255="","",H255*L255)</f>
        <v>0</v>
      </c>
    </row>
    <row r="256" spans="1:13">
      <c r="A256" s="15" t="s">
        <v>763</v>
      </c>
      <c r="B256" s="16" t="s">
        <v>764</v>
      </c>
      <c r="C256" s="17"/>
      <c r="D256" s="16" t="s">
        <v>753</v>
      </c>
      <c r="E256" s="16" t="s">
        <v>765</v>
      </c>
      <c r="F256" s="16" t="s">
        <v>695</v>
      </c>
      <c r="G256" s="18">
        <v>5330</v>
      </c>
      <c r="H256" s="19" t="str">
        <f>ROUND((5330/100*(100-M16)),0)</f>
        <v>0</v>
      </c>
      <c r="I256" s="14">
        <v>5</v>
      </c>
      <c r="J256" s="16" t="s">
        <v>69</v>
      </c>
      <c r="K256" s="16" t="s">
        <v>36</v>
      </c>
      <c r="L256" s="16"/>
      <c r="M256" s="16" t="str">
        <f>IF(L256="","",H256*L256)</f>
        <v>0</v>
      </c>
    </row>
    <row r="257" spans="1:13">
      <c r="A257" s="15"/>
      <c r="B257" s="16"/>
      <c r="C257" s="17"/>
      <c r="D257" s="16"/>
      <c r="E257" s="16"/>
      <c r="F257" s="16"/>
      <c r="G257" s="18"/>
      <c r="H257" s="19"/>
      <c r="J257" s="16"/>
      <c r="K257" s="16"/>
      <c r="L257" s="16"/>
      <c r="M257" s="16"/>
    </row>
    <row r="258" spans="1:13">
      <c r="A258" s="1" t="s">
        <v>0</v>
      </c>
      <c r="B258" s="1" t="s">
        <v>1</v>
      </c>
      <c r="C258" s="1" t="s">
        <v>2</v>
      </c>
      <c r="D258" s="1" t="s">
        <v>3</v>
      </c>
      <c r="E258" s="1" t="s">
        <v>4</v>
      </c>
      <c r="F258" s="1" t="s">
        <v>5</v>
      </c>
      <c r="G258" s="1" t="s">
        <v>6</v>
      </c>
      <c r="H258" s="1" t="s">
        <v>7</v>
      </c>
      <c r="I258" s="2" t="s">
        <v>8</v>
      </c>
      <c r="J258" s="1" t="s">
        <v>9</v>
      </c>
      <c r="K258" s="1" t="s">
        <v>10</v>
      </c>
      <c r="L258" s="3" t="s">
        <v>11</v>
      </c>
      <c r="M258" s="1" t="s">
        <v>12</v>
      </c>
    </row>
    <row r="259" spans="1:13">
      <c r="A259" s="13" t="s">
        <v>766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>
      <c r="A260" s="15" t="s">
        <v>767</v>
      </c>
      <c r="B260" s="16" t="s">
        <v>768</v>
      </c>
      <c r="C260" s="17" t="s">
        <v>32</v>
      </c>
      <c r="D260" s="16" t="s">
        <v>766</v>
      </c>
      <c r="E260" s="16" t="s">
        <v>769</v>
      </c>
      <c r="F260" s="16" t="s">
        <v>34</v>
      </c>
      <c r="G260" s="18">
        <v>1962</v>
      </c>
      <c r="H260" s="19" t="str">
        <f>ROUND((1962/100*(100-M16)),0)</f>
        <v>0</v>
      </c>
      <c r="I260" s="14">
        <v>10</v>
      </c>
      <c r="J260" s="16" t="s">
        <v>770</v>
      </c>
      <c r="K260" s="16" t="s">
        <v>771</v>
      </c>
      <c r="L260" s="16"/>
      <c r="M260" s="16" t="str">
        <f>IF(L260="","",H260*L260)</f>
        <v>0</v>
      </c>
    </row>
    <row r="261" spans="1:13">
      <c r="A261" s="15" t="s">
        <v>772</v>
      </c>
      <c r="B261" s="16" t="s">
        <v>773</v>
      </c>
      <c r="C261" s="17" t="s">
        <v>32</v>
      </c>
      <c r="D261" s="16" t="s">
        <v>766</v>
      </c>
      <c r="E261" s="16" t="s">
        <v>774</v>
      </c>
      <c r="F261" s="16" t="s">
        <v>34</v>
      </c>
      <c r="G261" s="18">
        <v>215</v>
      </c>
      <c r="H261" s="19" t="str">
        <f>ROUND((215/100*(100-M16)),0)</f>
        <v>0</v>
      </c>
      <c r="I261" s="14">
        <v>222</v>
      </c>
      <c r="J261" s="16" t="s">
        <v>775</v>
      </c>
      <c r="K261" s="16" t="s">
        <v>662</v>
      </c>
      <c r="L261" s="16"/>
      <c r="M261" s="16" t="str">
        <f>IF(L261="","",H261*L261)</f>
        <v>0</v>
      </c>
    </row>
    <row r="262" spans="1:13">
      <c r="A262" s="15" t="s">
        <v>776</v>
      </c>
      <c r="B262" s="20" t="s">
        <v>777</v>
      </c>
      <c r="C262" s="17" t="s">
        <v>32</v>
      </c>
      <c r="D262" s="20" t="s">
        <v>778</v>
      </c>
      <c r="E262" s="20" t="s">
        <v>779</v>
      </c>
      <c r="F262" s="20" t="s">
        <v>34</v>
      </c>
      <c r="G262" s="18">
        <v>283</v>
      </c>
      <c r="H262" s="19" t="str">
        <f>ROUND((283/100*(100-M16)),0)</f>
        <v>0</v>
      </c>
      <c r="I262" s="14">
        <v>58</v>
      </c>
      <c r="J262" s="16" t="s">
        <v>780</v>
      </c>
      <c r="K262" s="16" t="s">
        <v>662</v>
      </c>
      <c r="L262" s="16"/>
      <c r="M262" s="16" t="str">
        <f>IF(L262="","",H262*L262)</f>
        <v>0</v>
      </c>
    </row>
    <row r="263" spans="1:13">
      <c r="A263" s="15" t="s">
        <v>781</v>
      </c>
      <c r="B263" s="20" t="s">
        <v>782</v>
      </c>
      <c r="C263" s="17" t="s">
        <v>32</v>
      </c>
      <c r="D263" s="20" t="s">
        <v>778</v>
      </c>
      <c r="E263" s="20" t="s">
        <v>783</v>
      </c>
      <c r="F263" s="20" t="s">
        <v>34</v>
      </c>
      <c r="G263" s="18">
        <v>152</v>
      </c>
      <c r="H263" s="19" t="str">
        <f>ROUND((152/100*(100-M16)),0)</f>
        <v>0</v>
      </c>
      <c r="I263" s="14">
        <v>72</v>
      </c>
      <c r="J263" s="16" t="s">
        <v>784</v>
      </c>
      <c r="K263" s="16" t="s">
        <v>662</v>
      </c>
      <c r="L263" s="16"/>
      <c r="M263" s="16" t="str">
        <f>IF(L263="","",H263*L263)</f>
        <v>0</v>
      </c>
    </row>
    <row r="264" spans="1:13">
      <c r="A264" s="15" t="s">
        <v>785</v>
      </c>
      <c r="B264" s="20" t="s">
        <v>786</v>
      </c>
      <c r="C264" s="17"/>
      <c r="D264" s="20" t="s">
        <v>778</v>
      </c>
      <c r="E264" s="20" t="s">
        <v>787</v>
      </c>
      <c r="F264" s="20" t="s">
        <v>34</v>
      </c>
      <c r="G264" s="18">
        <v>368</v>
      </c>
      <c r="H264" s="19" t="str">
        <f>ROUND((368/100*(100-M16)),0)</f>
        <v>0</v>
      </c>
      <c r="I264" s="14">
        <v>208</v>
      </c>
      <c r="J264" s="16" t="s">
        <v>788</v>
      </c>
      <c r="K264" s="16" t="s">
        <v>662</v>
      </c>
      <c r="L264" s="16"/>
      <c r="M264" s="16" t="str">
        <f>IF(L264="","",H264*L264)</f>
        <v>0</v>
      </c>
    </row>
    <row r="265" spans="1:13">
      <c r="A265" s="15" t="s">
        <v>789</v>
      </c>
      <c r="B265" s="20" t="s">
        <v>790</v>
      </c>
      <c r="C265" s="17"/>
      <c r="D265" s="20" t="s">
        <v>778</v>
      </c>
      <c r="E265" s="20" t="s">
        <v>791</v>
      </c>
      <c r="F265" s="20" t="s">
        <v>34</v>
      </c>
      <c r="G265" s="18">
        <v>519</v>
      </c>
      <c r="H265" s="19" t="str">
        <f>ROUND((519/100*(100-M16)),0)</f>
        <v>0</v>
      </c>
      <c r="I265" s="14">
        <v>330</v>
      </c>
      <c r="J265" s="16" t="s">
        <v>792</v>
      </c>
      <c r="K265" s="16" t="s">
        <v>662</v>
      </c>
      <c r="L265" s="16"/>
      <c r="M265" s="16" t="str">
        <f>IF(L265="","",H265*L265)</f>
        <v>0</v>
      </c>
    </row>
    <row r="266" spans="1:13">
      <c r="A266" s="15" t="s">
        <v>793</v>
      </c>
      <c r="B266" s="16" t="s">
        <v>794</v>
      </c>
      <c r="C266" s="17"/>
      <c r="D266" s="16" t="s">
        <v>766</v>
      </c>
      <c r="E266" s="16" t="s">
        <v>795</v>
      </c>
      <c r="F266" s="16" t="s">
        <v>34</v>
      </c>
      <c r="G266" s="18">
        <v>990</v>
      </c>
      <c r="H266" s="19" t="str">
        <f>ROUND((990/100*(100-M16)),0)</f>
        <v>0</v>
      </c>
      <c r="I266" s="14">
        <v>42</v>
      </c>
      <c r="J266" s="16" t="s">
        <v>796</v>
      </c>
      <c r="K266" s="16" t="s">
        <v>662</v>
      </c>
      <c r="L266" s="16"/>
      <c r="M266" s="16" t="str">
        <f>IF(L266="","",H266*L266)</f>
        <v>0</v>
      </c>
    </row>
    <row r="267" spans="1:13">
      <c r="A267" s="15" t="s">
        <v>797</v>
      </c>
      <c r="B267" s="16" t="s">
        <v>798</v>
      </c>
      <c r="C267" s="17"/>
      <c r="D267" s="16" t="s">
        <v>766</v>
      </c>
      <c r="E267" s="16" t="s">
        <v>799</v>
      </c>
      <c r="F267" s="16" t="s">
        <v>34</v>
      </c>
      <c r="G267" s="18">
        <v>1300</v>
      </c>
      <c r="H267" s="19" t="str">
        <f>ROUND((1300/100*(100-M16)),0)</f>
        <v>0</v>
      </c>
      <c r="I267" s="14">
        <v>198</v>
      </c>
      <c r="J267" s="16" t="s">
        <v>800</v>
      </c>
      <c r="K267" s="16" t="s">
        <v>662</v>
      </c>
      <c r="L267" s="16"/>
      <c r="M267" s="16" t="str">
        <f>IF(L267="","",H267*L267)</f>
        <v>0</v>
      </c>
    </row>
    <row r="268" spans="1:13">
      <c r="A268" s="15" t="s">
        <v>801</v>
      </c>
      <c r="B268" s="16" t="s">
        <v>802</v>
      </c>
      <c r="C268" s="17"/>
      <c r="D268" s="16" t="s">
        <v>766</v>
      </c>
      <c r="E268" s="16" t="s">
        <v>803</v>
      </c>
      <c r="F268" s="16" t="s">
        <v>34</v>
      </c>
      <c r="G268" s="18">
        <v>1260</v>
      </c>
      <c r="H268" s="19" t="str">
        <f>ROUND((1260/100*(100-M16)),0)</f>
        <v>0</v>
      </c>
      <c r="I268" s="14">
        <v>153</v>
      </c>
      <c r="J268" s="16" t="s">
        <v>804</v>
      </c>
      <c r="K268" s="16" t="s">
        <v>771</v>
      </c>
      <c r="L268" s="16"/>
      <c r="M268" s="16" t="str">
        <f>IF(L268="","",H268*L268)</f>
        <v>0</v>
      </c>
    </row>
    <row r="269" spans="1:13">
      <c r="A269" s="15" t="s">
        <v>805</v>
      </c>
      <c r="B269" s="16" t="s">
        <v>806</v>
      </c>
      <c r="C269" s="17"/>
      <c r="D269" s="16" t="s">
        <v>766</v>
      </c>
      <c r="E269" s="16" t="s">
        <v>807</v>
      </c>
      <c r="F269" s="16" t="s">
        <v>34</v>
      </c>
      <c r="G269" s="18">
        <v>1440</v>
      </c>
      <c r="H269" s="19" t="str">
        <f>ROUND((1440/100*(100-M16)),0)</f>
        <v>0</v>
      </c>
      <c r="I269" s="14">
        <v>55</v>
      </c>
      <c r="J269" s="16" t="s">
        <v>808</v>
      </c>
      <c r="K269" s="16" t="s">
        <v>771</v>
      </c>
      <c r="L269" s="16"/>
      <c r="M269" s="16" t="str">
        <f>IF(L269="","",H269*L269)</f>
        <v>0</v>
      </c>
    </row>
    <row r="270" spans="1:13">
      <c r="A270" s="15" t="s">
        <v>809</v>
      </c>
      <c r="B270" s="16" t="s">
        <v>810</v>
      </c>
      <c r="C270" s="17"/>
      <c r="D270" s="16" t="s">
        <v>766</v>
      </c>
      <c r="E270" s="16" t="s">
        <v>811</v>
      </c>
      <c r="F270" s="16" t="s">
        <v>34</v>
      </c>
      <c r="G270" s="18">
        <v>730</v>
      </c>
      <c r="H270" s="19" t="str">
        <f>ROUND((730/100*(100-M16)),0)</f>
        <v>0</v>
      </c>
      <c r="I270" s="14">
        <v>86</v>
      </c>
      <c r="J270" s="16" t="s">
        <v>812</v>
      </c>
      <c r="K270" s="16" t="s">
        <v>771</v>
      </c>
      <c r="L270" s="16"/>
      <c r="M270" s="16" t="str">
        <f>IF(L270="","",H270*L270)</f>
        <v>0</v>
      </c>
    </row>
    <row r="271" spans="1:13">
      <c r="A271" s="15" t="s">
        <v>813</v>
      </c>
      <c r="B271" s="16" t="s">
        <v>814</v>
      </c>
      <c r="C271" s="17"/>
      <c r="D271" s="16" t="s">
        <v>766</v>
      </c>
      <c r="E271" s="16" t="s">
        <v>815</v>
      </c>
      <c r="F271" s="16" t="s">
        <v>34</v>
      </c>
      <c r="G271" s="18">
        <v>708</v>
      </c>
      <c r="H271" s="19" t="str">
        <f>ROUND((708/100*(100-M16)),0)</f>
        <v>0</v>
      </c>
      <c r="I271" s="14">
        <v>11</v>
      </c>
      <c r="J271" s="16" t="s">
        <v>816</v>
      </c>
      <c r="K271" s="16" t="s">
        <v>771</v>
      </c>
      <c r="L271" s="16"/>
      <c r="M271" s="16" t="str">
        <f>IF(L271="","",H271*L271)</f>
        <v>0</v>
      </c>
    </row>
    <row r="272" spans="1:13">
      <c r="A272" s="15" t="s">
        <v>817</v>
      </c>
      <c r="B272" s="16" t="s">
        <v>818</v>
      </c>
      <c r="C272" s="17"/>
      <c r="D272" s="16" t="s">
        <v>766</v>
      </c>
      <c r="E272" s="16" t="s">
        <v>819</v>
      </c>
      <c r="F272" s="16" t="s">
        <v>34</v>
      </c>
      <c r="G272" s="18">
        <v>2685</v>
      </c>
      <c r="H272" s="19" t="str">
        <f>ROUND((2685/100*(100-M16)),0)</f>
        <v>0</v>
      </c>
      <c r="I272" s="14">
        <v>18</v>
      </c>
      <c r="J272" s="16" t="s">
        <v>820</v>
      </c>
      <c r="K272" s="16" t="s">
        <v>771</v>
      </c>
      <c r="L272" s="16"/>
      <c r="M272" s="16" t="str">
        <f>IF(L272="","",H272*L272)</f>
        <v>0</v>
      </c>
    </row>
    <row r="273" spans="1:13">
      <c r="A273" s="15" t="s">
        <v>821</v>
      </c>
      <c r="B273" s="16" t="s">
        <v>822</v>
      </c>
      <c r="C273" s="17"/>
      <c r="D273" s="16" t="s">
        <v>766</v>
      </c>
      <c r="E273" s="16" t="s">
        <v>823</v>
      </c>
      <c r="F273" s="16" t="s">
        <v>34</v>
      </c>
      <c r="G273" s="18">
        <v>258</v>
      </c>
      <c r="H273" s="19" t="str">
        <f>ROUND((258/100*(100-M16)),0)</f>
        <v>0</v>
      </c>
      <c r="I273" s="14">
        <v>147</v>
      </c>
      <c r="J273" s="16" t="s">
        <v>780</v>
      </c>
      <c r="K273" s="16" t="s">
        <v>662</v>
      </c>
      <c r="L273" s="16"/>
      <c r="M273" s="16" t="str">
        <f>IF(L273="","",H273*L273)</f>
        <v>0</v>
      </c>
    </row>
    <row r="274" spans="1:13">
      <c r="A274" s="15" t="s">
        <v>824</v>
      </c>
      <c r="B274" s="16" t="s">
        <v>825</v>
      </c>
      <c r="C274" s="17" t="s">
        <v>32</v>
      </c>
      <c r="D274" s="16" t="s">
        <v>766</v>
      </c>
      <c r="E274" s="16" t="s">
        <v>826</v>
      </c>
      <c r="F274" s="16" t="s">
        <v>212</v>
      </c>
      <c r="G274" s="18">
        <v>1353</v>
      </c>
      <c r="H274" s="19" t="str">
        <f>ROUND((1353/100*(100-M16)),0)</f>
        <v>0</v>
      </c>
      <c r="I274" s="14">
        <v>50</v>
      </c>
      <c r="J274" s="16" t="s">
        <v>804</v>
      </c>
      <c r="K274" s="16" t="s">
        <v>771</v>
      </c>
      <c r="L274" s="16"/>
      <c r="M274" s="16" t="str">
        <f>IF(L274="","",H274*L274)</f>
        <v>0</v>
      </c>
    </row>
    <row r="275" spans="1:13">
      <c r="A275" s="15" t="s">
        <v>827</v>
      </c>
      <c r="B275" s="16" t="s">
        <v>828</v>
      </c>
      <c r="C275" s="17" t="s">
        <v>32</v>
      </c>
      <c r="D275" s="16" t="s">
        <v>766</v>
      </c>
      <c r="E275" s="16" t="s">
        <v>829</v>
      </c>
      <c r="F275" s="16" t="s">
        <v>212</v>
      </c>
      <c r="G275" s="18">
        <v>776</v>
      </c>
      <c r="H275" s="19" t="str">
        <f>ROUND((776/100*(100-M16)),0)</f>
        <v>0</v>
      </c>
      <c r="I275" s="14">
        <v>27</v>
      </c>
      <c r="J275" s="16" t="s">
        <v>830</v>
      </c>
      <c r="K275" s="16" t="s">
        <v>771</v>
      </c>
      <c r="L275" s="16"/>
      <c r="M275" s="16" t="str">
        <f>IF(L275="","",H275*L275)</f>
        <v>0</v>
      </c>
    </row>
    <row r="276" spans="1:13">
      <c r="A276" s="15" t="s">
        <v>831</v>
      </c>
      <c r="B276" s="16" t="s">
        <v>832</v>
      </c>
      <c r="C276" s="17" t="s">
        <v>32</v>
      </c>
      <c r="D276" s="16" t="s">
        <v>766</v>
      </c>
      <c r="E276" s="16" t="s">
        <v>833</v>
      </c>
      <c r="F276" s="16" t="s">
        <v>212</v>
      </c>
      <c r="G276" s="18">
        <v>629</v>
      </c>
      <c r="H276" s="19" t="str">
        <f>ROUND((629/100*(100-M16)),0)</f>
        <v>0</v>
      </c>
      <c r="I276" s="14">
        <v>47</v>
      </c>
      <c r="J276" s="16" t="s">
        <v>812</v>
      </c>
      <c r="K276" s="16" t="s">
        <v>771</v>
      </c>
      <c r="L276" s="16"/>
      <c r="M276" s="16" t="str">
        <f>IF(L276="","",H276*L276)</f>
        <v>0</v>
      </c>
    </row>
    <row r="277" spans="1:13">
      <c r="A277" s="15" t="s">
        <v>834</v>
      </c>
      <c r="B277" s="16" t="s">
        <v>835</v>
      </c>
      <c r="C277" s="17" t="s">
        <v>32</v>
      </c>
      <c r="D277" s="16" t="s">
        <v>766</v>
      </c>
      <c r="E277" s="16" t="s">
        <v>836</v>
      </c>
      <c r="F277" s="16" t="s">
        <v>212</v>
      </c>
      <c r="G277" s="18">
        <v>311</v>
      </c>
      <c r="H277" s="19" t="str">
        <f>ROUND((311/100*(100-M16)),0)</f>
        <v>0</v>
      </c>
      <c r="I277" s="14">
        <v>71</v>
      </c>
      <c r="J277" s="16" t="s">
        <v>837</v>
      </c>
      <c r="K277" s="16" t="s">
        <v>662</v>
      </c>
      <c r="L277" s="16"/>
      <c r="M277" s="16" t="str">
        <f>IF(L277="","",H277*L277)</f>
        <v>0</v>
      </c>
    </row>
    <row r="278" spans="1:13">
      <c r="A278" s="15" t="s">
        <v>838</v>
      </c>
      <c r="B278" s="16" t="s">
        <v>839</v>
      </c>
      <c r="C278" s="17" t="s">
        <v>32</v>
      </c>
      <c r="D278" s="16" t="s">
        <v>766</v>
      </c>
      <c r="E278" s="16" t="s">
        <v>840</v>
      </c>
      <c r="F278" s="16" t="s">
        <v>212</v>
      </c>
      <c r="G278" s="18">
        <v>430</v>
      </c>
      <c r="H278" s="19" t="str">
        <f>ROUND((430/100*(100-M16)),0)</f>
        <v>0</v>
      </c>
      <c r="I278" s="14">
        <v>62</v>
      </c>
      <c r="J278" s="16" t="s">
        <v>841</v>
      </c>
      <c r="K278" s="16" t="s">
        <v>662</v>
      </c>
      <c r="L278" s="16"/>
      <c r="M278" s="16" t="str">
        <f>IF(L278="","",H278*L278)</f>
        <v>0</v>
      </c>
    </row>
    <row r="279" spans="1:13">
      <c r="A279" s="15" t="s">
        <v>842</v>
      </c>
      <c r="B279" s="16" t="s">
        <v>843</v>
      </c>
      <c r="C279" s="17"/>
      <c r="D279" s="16" t="s">
        <v>766</v>
      </c>
      <c r="E279" s="16" t="s">
        <v>844</v>
      </c>
      <c r="F279" s="16" t="s">
        <v>212</v>
      </c>
      <c r="G279" s="18">
        <v>558</v>
      </c>
      <c r="H279" s="19" t="str">
        <f>ROUND((558/100*(100-M16)),0)</f>
        <v>0</v>
      </c>
      <c r="I279" s="14">
        <v>97</v>
      </c>
      <c r="J279" s="16" t="s">
        <v>845</v>
      </c>
      <c r="K279" s="16" t="s">
        <v>662</v>
      </c>
      <c r="L279" s="16"/>
      <c r="M279" s="16" t="str">
        <f>IF(L279="","",H279*L279)</f>
        <v>0</v>
      </c>
    </row>
    <row r="280" spans="1:13">
      <c r="A280" s="15" t="s">
        <v>846</v>
      </c>
      <c r="B280" s="16" t="s">
        <v>847</v>
      </c>
      <c r="C280" s="17"/>
      <c r="D280" s="16" t="s">
        <v>766</v>
      </c>
      <c r="E280" s="16" t="s">
        <v>848</v>
      </c>
      <c r="F280" s="16" t="s">
        <v>212</v>
      </c>
      <c r="G280" s="18">
        <v>704</v>
      </c>
      <c r="H280" s="19" t="str">
        <f>ROUND((704/100*(100-M16)),0)</f>
        <v>0</v>
      </c>
      <c r="I280" s="14">
        <v>95</v>
      </c>
      <c r="J280" s="16" t="s">
        <v>845</v>
      </c>
      <c r="K280" s="16" t="s">
        <v>662</v>
      </c>
      <c r="L280" s="16"/>
      <c r="M280" s="16" t="str">
        <f>IF(L280="","",H280*L280)</f>
        <v>0</v>
      </c>
    </row>
    <row r="281" spans="1:13">
      <c r="A281" s="15" t="s">
        <v>849</v>
      </c>
      <c r="B281" s="16" t="s">
        <v>850</v>
      </c>
      <c r="C281" s="17"/>
      <c r="D281" s="16" t="s">
        <v>766</v>
      </c>
      <c r="E281" s="16" t="s">
        <v>851</v>
      </c>
      <c r="F281" s="16" t="s">
        <v>212</v>
      </c>
      <c r="G281" s="18">
        <v>872</v>
      </c>
      <c r="H281" s="19" t="str">
        <f>ROUND((872/100*(100-M16)),0)</f>
        <v>0</v>
      </c>
      <c r="I281" s="14">
        <v>73</v>
      </c>
      <c r="J281" s="16" t="s">
        <v>845</v>
      </c>
      <c r="K281" s="16" t="s">
        <v>662</v>
      </c>
      <c r="L281" s="16"/>
      <c r="M281" s="16" t="str">
        <f>IF(L281="","",H281*L281)</f>
        <v>0</v>
      </c>
    </row>
    <row r="282" spans="1:13">
      <c r="A282" s="15" t="s">
        <v>852</v>
      </c>
      <c r="B282" s="16" t="s">
        <v>853</v>
      </c>
      <c r="C282" s="17" t="s">
        <v>32</v>
      </c>
      <c r="D282" s="16" t="s">
        <v>766</v>
      </c>
      <c r="E282" s="16" t="s">
        <v>854</v>
      </c>
      <c r="F282" s="16" t="s">
        <v>212</v>
      </c>
      <c r="G282" s="18">
        <v>234</v>
      </c>
      <c r="H282" s="19" t="str">
        <f>ROUND((234/100*(100-M16)),0)</f>
        <v>0</v>
      </c>
      <c r="I282" s="14">
        <v>44</v>
      </c>
      <c r="J282" s="16" t="s">
        <v>855</v>
      </c>
      <c r="K282" s="16" t="s">
        <v>662</v>
      </c>
      <c r="L282" s="16"/>
      <c r="M282" s="16" t="str">
        <f>IF(L282="","",H282*L282)</f>
        <v>0</v>
      </c>
    </row>
    <row r="283" spans="1:13">
      <c r="A283" s="15" t="s">
        <v>856</v>
      </c>
      <c r="B283" s="16" t="s">
        <v>857</v>
      </c>
      <c r="C283" s="17" t="s">
        <v>32</v>
      </c>
      <c r="D283" s="16" t="s">
        <v>766</v>
      </c>
      <c r="E283" s="16" t="s">
        <v>858</v>
      </c>
      <c r="F283" s="16" t="s">
        <v>212</v>
      </c>
      <c r="G283" s="18">
        <v>630</v>
      </c>
      <c r="H283" s="19" t="str">
        <f>ROUND((630/100*(100-M16)),0)</f>
        <v>0</v>
      </c>
      <c r="I283" s="14">
        <v>16</v>
      </c>
      <c r="J283" s="16" t="s">
        <v>560</v>
      </c>
      <c r="K283" s="16" t="s">
        <v>36</v>
      </c>
      <c r="L283" s="16"/>
      <c r="M283" s="16" t="str">
        <f>IF(L283="","",H283*L283)</f>
        <v>0</v>
      </c>
    </row>
    <row r="284" spans="1:13">
      <c r="A284" s="15" t="s">
        <v>859</v>
      </c>
      <c r="B284" s="16" t="s">
        <v>860</v>
      </c>
      <c r="C284" s="17" t="s">
        <v>32</v>
      </c>
      <c r="D284" s="16" t="s">
        <v>766</v>
      </c>
      <c r="E284" s="16" t="s">
        <v>861</v>
      </c>
      <c r="F284" s="16" t="s">
        <v>212</v>
      </c>
      <c r="G284" s="18">
        <v>80</v>
      </c>
      <c r="H284" s="19" t="str">
        <f>ROUND((80/100*(100-M16)),0)</f>
        <v>0</v>
      </c>
      <c r="I284" s="14">
        <v>300</v>
      </c>
      <c r="J284" s="16" t="s">
        <v>862</v>
      </c>
      <c r="K284" s="16" t="s">
        <v>662</v>
      </c>
      <c r="L284" s="16"/>
      <c r="M284" s="16" t="str">
        <f>IF(L284="","",H284*L284)</f>
        <v>0</v>
      </c>
    </row>
    <row r="285" spans="1:13">
      <c r="A285" s="15" t="s">
        <v>863</v>
      </c>
      <c r="B285" s="16" t="s">
        <v>864</v>
      </c>
      <c r="C285" s="17" t="s">
        <v>32</v>
      </c>
      <c r="D285" s="16" t="s">
        <v>766</v>
      </c>
      <c r="E285" s="16" t="s">
        <v>865</v>
      </c>
      <c r="F285" s="16" t="s">
        <v>639</v>
      </c>
      <c r="G285" s="18">
        <v>750</v>
      </c>
      <c r="H285" s="19" t="str">
        <f>ROUND((750/100*(100-M16)),0)</f>
        <v>0</v>
      </c>
      <c r="I285" s="14">
        <v>31</v>
      </c>
      <c r="J285" s="16" t="s">
        <v>866</v>
      </c>
      <c r="K285" s="16" t="s">
        <v>771</v>
      </c>
      <c r="L285" s="16"/>
      <c r="M285" s="16" t="str">
        <f>IF(L285="","",H285*L285)</f>
        <v>0</v>
      </c>
    </row>
    <row r="286" spans="1:13">
      <c r="A286" s="15" t="s">
        <v>867</v>
      </c>
      <c r="B286" s="16" t="s">
        <v>868</v>
      </c>
      <c r="C286" s="17" t="s">
        <v>32</v>
      </c>
      <c r="D286" s="16" t="s">
        <v>766</v>
      </c>
      <c r="E286" s="16" t="s">
        <v>869</v>
      </c>
      <c r="F286" s="16" t="s">
        <v>639</v>
      </c>
      <c r="G286" s="18">
        <v>248</v>
      </c>
      <c r="H286" s="19" t="str">
        <f>ROUND((248/100*(100-M16)),0)</f>
        <v>0</v>
      </c>
      <c r="I286" s="14">
        <v>9</v>
      </c>
      <c r="J286" s="16" t="s">
        <v>870</v>
      </c>
      <c r="K286" s="16" t="s">
        <v>662</v>
      </c>
      <c r="L286" s="16"/>
      <c r="M286" s="16" t="str">
        <f>IF(L286="","",H286*L286)</f>
        <v>0</v>
      </c>
    </row>
    <row r="287" spans="1:13">
      <c r="A287" s="15" t="s">
        <v>871</v>
      </c>
      <c r="B287" s="16" t="s">
        <v>872</v>
      </c>
      <c r="C287" s="17" t="s">
        <v>32</v>
      </c>
      <c r="D287" s="16" t="s">
        <v>766</v>
      </c>
      <c r="E287" s="16" t="s">
        <v>873</v>
      </c>
      <c r="F287" s="16" t="s">
        <v>639</v>
      </c>
      <c r="G287" s="18">
        <v>281</v>
      </c>
      <c r="H287" s="19" t="str">
        <f>ROUND((281/100*(100-M16)),0)</f>
        <v>0</v>
      </c>
      <c r="I287" s="14">
        <v>208</v>
      </c>
      <c r="J287" s="16" t="s">
        <v>870</v>
      </c>
      <c r="K287" s="16" t="s">
        <v>662</v>
      </c>
      <c r="L287" s="16"/>
      <c r="M287" s="16" t="str">
        <f>IF(L287="","",H287*L287)</f>
        <v>0</v>
      </c>
    </row>
    <row r="288" spans="1:13">
      <c r="A288" s="15" t="s">
        <v>874</v>
      </c>
      <c r="B288" s="16" t="s">
        <v>875</v>
      </c>
      <c r="C288" s="17"/>
      <c r="D288" s="16" t="s">
        <v>766</v>
      </c>
      <c r="E288" s="16" t="s">
        <v>876</v>
      </c>
      <c r="F288" s="16" t="s">
        <v>639</v>
      </c>
      <c r="G288" s="18">
        <v>4440</v>
      </c>
      <c r="H288" s="19" t="str">
        <f>ROUND((4440/100*(100-M16)),0)</f>
        <v>0</v>
      </c>
      <c r="I288" s="14">
        <v>3</v>
      </c>
      <c r="J288" s="16" t="s">
        <v>877</v>
      </c>
      <c r="K288" s="16" t="s">
        <v>771</v>
      </c>
      <c r="L288" s="16"/>
      <c r="M288" s="16" t="str">
        <f>IF(L288="","",H288*L288)</f>
        <v>0</v>
      </c>
    </row>
    <row r="289" spans="1:13">
      <c r="A289" s="15" t="s">
        <v>878</v>
      </c>
      <c r="B289" s="16" t="s">
        <v>879</v>
      </c>
      <c r="C289" s="17"/>
      <c r="D289" s="16" t="s">
        <v>766</v>
      </c>
      <c r="E289" s="16" t="s">
        <v>880</v>
      </c>
      <c r="F289" s="16" t="s">
        <v>639</v>
      </c>
      <c r="G289" s="18">
        <v>80</v>
      </c>
      <c r="H289" s="19" t="str">
        <f>ROUND((80/100*(100-M16)),0)</f>
        <v>0</v>
      </c>
      <c r="I289" s="14">
        <v>11</v>
      </c>
      <c r="J289" s="16" t="s">
        <v>862</v>
      </c>
      <c r="K289" s="16" t="s">
        <v>662</v>
      </c>
      <c r="L289" s="16"/>
      <c r="M289" s="16" t="str">
        <f>IF(L289="","",H289*L289)</f>
        <v>0</v>
      </c>
    </row>
    <row r="290" spans="1:13">
      <c r="A290" s="15" t="s">
        <v>881</v>
      </c>
      <c r="B290" s="16" t="s">
        <v>882</v>
      </c>
      <c r="C290" s="17"/>
      <c r="D290" s="16" t="s">
        <v>766</v>
      </c>
      <c r="E290" s="16" t="s">
        <v>883</v>
      </c>
      <c r="F290" s="16" t="s">
        <v>639</v>
      </c>
      <c r="G290" s="18">
        <v>3440</v>
      </c>
      <c r="H290" s="19" t="str">
        <f>ROUND((3440/100*(100-M16)),0)</f>
        <v>0</v>
      </c>
      <c r="I290" s="14">
        <v>2</v>
      </c>
      <c r="J290" s="16" t="s">
        <v>884</v>
      </c>
      <c r="K290" s="16" t="s">
        <v>771</v>
      </c>
      <c r="L290" s="16"/>
      <c r="M290" s="16" t="str">
        <f>IF(L290="","",H290*L290)</f>
        <v>0</v>
      </c>
    </row>
    <row r="291" spans="1:13">
      <c r="A291" s="15" t="s">
        <v>885</v>
      </c>
      <c r="B291" s="16" t="s">
        <v>886</v>
      </c>
      <c r="C291" s="17"/>
      <c r="D291" s="16" t="s">
        <v>766</v>
      </c>
      <c r="E291" s="16" t="s">
        <v>887</v>
      </c>
      <c r="F291" s="16" t="s">
        <v>639</v>
      </c>
      <c r="G291" s="18">
        <v>551</v>
      </c>
      <c r="H291" s="19" t="str">
        <f>ROUND((551/100*(100-M16)),0)</f>
        <v>0</v>
      </c>
      <c r="I291" s="14">
        <v>26</v>
      </c>
      <c r="J291" s="16" t="s">
        <v>888</v>
      </c>
      <c r="K291" s="16" t="s">
        <v>662</v>
      </c>
      <c r="L291" s="16"/>
      <c r="M291" s="16" t="str">
        <f>IF(L291="","",H291*L291)</f>
        <v>0</v>
      </c>
    </row>
    <row r="292" spans="1:13">
      <c r="A292" s="15" t="s">
        <v>889</v>
      </c>
      <c r="B292" s="16" t="s">
        <v>890</v>
      </c>
      <c r="C292" s="17"/>
      <c r="D292" s="16" t="s">
        <v>766</v>
      </c>
      <c r="E292" s="16" t="s">
        <v>891</v>
      </c>
      <c r="F292" s="16" t="s">
        <v>639</v>
      </c>
      <c r="G292" s="18">
        <v>435</v>
      </c>
      <c r="H292" s="19" t="str">
        <f>ROUND((435/100*(100-M16)),0)</f>
        <v>0</v>
      </c>
      <c r="I292" s="14">
        <v>407</v>
      </c>
      <c r="J292" s="16" t="s">
        <v>855</v>
      </c>
      <c r="K292" s="16" t="s">
        <v>662</v>
      </c>
      <c r="L292" s="16"/>
      <c r="M292" s="16" t="str">
        <f>IF(L292="","",H292*L292)</f>
        <v>0</v>
      </c>
    </row>
    <row r="293" spans="1:13">
      <c r="A293" s="15" t="s">
        <v>892</v>
      </c>
      <c r="B293" s="20" t="s">
        <v>893</v>
      </c>
      <c r="C293" s="17"/>
      <c r="D293" s="20" t="s">
        <v>778</v>
      </c>
      <c r="E293" s="20" t="s">
        <v>894</v>
      </c>
      <c r="F293" s="20" t="s">
        <v>639</v>
      </c>
      <c r="G293" s="18">
        <v>420</v>
      </c>
      <c r="H293" s="19" t="str">
        <f>ROUND((420/100*(100-M16)),0)</f>
        <v>0</v>
      </c>
      <c r="I293" s="14">
        <v>107</v>
      </c>
      <c r="J293" s="16" t="s">
        <v>895</v>
      </c>
      <c r="K293" s="16" t="s">
        <v>662</v>
      </c>
      <c r="L293" s="16"/>
      <c r="M293" s="16" t="str">
        <f>IF(L293="","",H293*L293)</f>
        <v>0</v>
      </c>
    </row>
    <row r="294" spans="1:13">
      <c r="A294" s="15" t="s">
        <v>896</v>
      </c>
      <c r="B294" s="20" t="s">
        <v>897</v>
      </c>
      <c r="C294" s="17"/>
      <c r="D294" s="20" t="s">
        <v>778</v>
      </c>
      <c r="E294" s="20" t="s">
        <v>898</v>
      </c>
      <c r="F294" s="20" t="s">
        <v>639</v>
      </c>
      <c r="G294" s="18">
        <v>1120</v>
      </c>
      <c r="H294" s="19" t="str">
        <f>ROUND((1120/100*(100-M16)),0)</f>
        <v>0</v>
      </c>
      <c r="I294" s="14">
        <v>55</v>
      </c>
      <c r="J294" s="16" t="s">
        <v>899</v>
      </c>
      <c r="K294" s="16" t="s">
        <v>662</v>
      </c>
      <c r="L294" s="16"/>
      <c r="M294" s="16" t="str">
        <f>IF(L294="","",H294*L294)</f>
        <v>0</v>
      </c>
    </row>
    <row r="295" spans="1:13">
      <c r="A295" s="15" t="s">
        <v>900</v>
      </c>
      <c r="B295" s="16" t="s">
        <v>901</v>
      </c>
      <c r="C295" s="17"/>
      <c r="D295" s="16" t="s">
        <v>766</v>
      </c>
      <c r="E295" s="16" t="s">
        <v>902</v>
      </c>
      <c r="F295" s="16" t="s">
        <v>639</v>
      </c>
      <c r="G295" s="18">
        <v>840</v>
      </c>
      <c r="H295" s="19" t="str">
        <f>ROUND((840/100*(100-M16)),0)</f>
        <v>0</v>
      </c>
      <c r="I295" s="14">
        <v>186</v>
      </c>
      <c r="J295" s="16" t="s">
        <v>903</v>
      </c>
      <c r="K295" s="16" t="s">
        <v>662</v>
      </c>
      <c r="L295" s="16"/>
      <c r="M295" s="16" t="str">
        <f>IF(L295="","",H295*L295)</f>
        <v>0</v>
      </c>
    </row>
    <row r="296" spans="1:13">
      <c r="A296" s="15" t="s">
        <v>904</v>
      </c>
      <c r="B296" s="20" t="s">
        <v>905</v>
      </c>
      <c r="C296" s="17"/>
      <c r="D296" s="20" t="s">
        <v>778</v>
      </c>
      <c r="E296" s="20" t="s">
        <v>906</v>
      </c>
      <c r="F296" s="20" t="s">
        <v>687</v>
      </c>
      <c r="G296" s="18">
        <v>83</v>
      </c>
      <c r="H296" s="19" t="str">
        <f>ROUND((83/100*(100-M16)),0)</f>
        <v>0</v>
      </c>
      <c r="I296" s="14">
        <v>908</v>
      </c>
      <c r="J296" s="16" t="s">
        <v>907</v>
      </c>
      <c r="K296" s="16" t="s">
        <v>662</v>
      </c>
      <c r="L296" s="16"/>
      <c r="M296" s="16" t="str">
        <f>IF(L296="","",H296*L296)</f>
        <v>0</v>
      </c>
    </row>
    <row r="297" spans="1:13">
      <c r="A297" s="15" t="s">
        <v>908</v>
      </c>
      <c r="B297" s="16" t="s">
        <v>909</v>
      </c>
      <c r="C297" s="17"/>
      <c r="D297" s="16" t="s">
        <v>766</v>
      </c>
      <c r="E297" s="16" t="s">
        <v>910</v>
      </c>
      <c r="F297" s="16" t="s">
        <v>695</v>
      </c>
      <c r="G297" s="18">
        <v>406</v>
      </c>
      <c r="H297" s="19" t="str">
        <f>ROUND((406/100*(100-M16)),0)</f>
        <v>0</v>
      </c>
      <c r="I297" s="14">
        <v>35</v>
      </c>
      <c r="J297" s="16" t="s">
        <v>841</v>
      </c>
      <c r="K297" s="16" t="s">
        <v>662</v>
      </c>
      <c r="L297" s="16"/>
      <c r="M297" s="16" t="str">
        <f>IF(L297="","",H297*L297)</f>
        <v>0</v>
      </c>
    </row>
    <row r="298" spans="1:13">
      <c r="A298" s="15" t="s">
        <v>911</v>
      </c>
      <c r="B298" s="20" t="s">
        <v>912</v>
      </c>
      <c r="C298" s="17"/>
      <c r="D298" s="20" t="s">
        <v>778</v>
      </c>
      <c r="E298" s="20" t="s">
        <v>913</v>
      </c>
      <c r="F298" s="20" t="s">
        <v>695</v>
      </c>
      <c r="G298" s="18">
        <v>97</v>
      </c>
      <c r="H298" s="19" t="str">
        <f>ROUND((97/100*(100-M16)),0)</f>
        <v>0</v>
      </c>
      <c r="I298" s="14">
        <v>72</v>
      </c>
      <c r="J298" s="16" t="s">
        <v>914</v>
      </c>
      <c r="K298" s="16" t="s">
        <v>662</v>
      </c>
      <c r="L298" s="16"/>
      <c r="M298" s="16" t="str">
        <f>IF(L298="","",H298*L298)</f>
        <v>0</v>
      </c>
    </row>
    <row r="299" spans="1:13">
      <c r="A299" s="15" t="s">
        <v>915</v>
      </c>
      <c r="B299" s="16" t="s">
        <v>916</v>
      </c>
      <c r="C299" s="17" t="s">
        <v>32</v>
      </c>
      <c r="D299" s="16" t="s">
        <v>766</v>
      </c>
      <c r="E299" s="16" t="s">
        <v>917</v>
      </c>
      <c r="F299" s="16" t="s">
        <v>695</v>
      </c>
      <c r="G299" s="18">
        <v>197</v>
      </c>
      <c r="H299" s="19" t="str">
        <f>ROUND((197/100*(100-M16)),0)</f>
        <v>0</v>
      </c>
      <c r="I299" s="14">
        <v>1</v>
      </c>
      <c r="J299" s="16" t="s">
        <v>855</v>
      </c>
      <c r="K299" s="16" t="s">
        <v>662</v>
      </c>
      <c r="L299" s="16"/>
      <c r="M299" s="16" t="str">
        <f>IF(L299="","",H299*L299)</f>
        <v>0</v>
      </c>
    </row>
    <row r="300" spans="1:13">
      <c r="A300" s="15" t="s">
        <v>918</v>
      </c>
      <c r="B300" s="16" t="s">
        <v>919</v>
      </c>
      <c r="C300" s="17" t="s">
        <v>32</v>
      </c>
      <c r="D300" s="16" t="s">
        <v>766</v>
      </c>
      <c r="E300" s="16" t="s">
        <v>920</v>
      </c>
      <c r="F300" s="16" t="s">
        <v>695</v>
      </c>
      <c r="G300" s="18">
        <v>592</v>
      </c>
      <c r="H300" s="19" t="str">
        <f>ROUND((592/100*(100-M16)),0)</f>
        <v>0</v>
      </c>
      <c r="I300" s="14">
        <v>32</v>
      </c>
      <c r="J300" s="16" t="s">
        <v>866</v>
      </c>
      <c r="K300" s="16" t="s">
        <v>771</v>
      </c>
      <c r="L300" s="16"/>
      <c r="M300" s="16" t="str">
        <f>IF(L300="","",H300*L300)</f>
        <v>0</v>
      </c>
    </row>
    <row r="301" spans="1:13">
      <c r="A301" s="15" t="s">
        <v>921</v>
      </c>
      <c r="B301" s="20" t="s">
        <v>922</v>
      </c>
      <c r="C301" s="17" t="s">
        <v>32</v>
      </c>
      <c r="D301" s="20" t="s">
        <v>778</v>
      </c>
      <c r="E301" s="20" t="s">
        <v>923</v>
      </c>
      <c r="F301" s="20" t="s">
        <v>695</v>
      </c>
      <c r="G301" s="18">
        <v>131</v>
      </c>
      <c r="H301" s="19" t="str">
        <f>ROUND((131/100*(100-M16)),0)</f>
        <v>0</v>
      </c>
      <c r="I301" s="14">
        <v>258</v>
      </c>
      <c r="J301" s="16" t="s">
        <v>924</v>
      </c>
      <c r="K301" s="16" t="s">
        <v>662</v>
      </c>
      <c r="L301" s="16"/>
      <c r="M301" s="16" t="str">
        <f>IF(L301="","",H301*L301)</f>
        <v>0</v>
      </c>
    </row>
    <row r="302" spans="1:13">
      <c r="A302" s="15" t="s">
        <v>925</v>
      </c>
      <c r="B302" s="20" t="s">
        <v>926</v>
      </c>
      <c r="C302" s="17"/>
      <c r="D302" s="20" t="s">
        <v>778</v>
      </c>
      <c r="E302" s="20" t="s">
        <v>927</v>
      </c>
      <c r="F302" s="20" t="s">
        <v>695</v>
      </c>
      <c r="G302" s="18">
        <v>666</v>
      </c>
      <c r="H302" s="19" t="str">
        <f>ROUND((666/100*(100-M16)),0)</f>
        <v>0</v>
      </c>
      <c r="I302" s="14">
        <v>16</v>
      </c>
      <c r="J302" s="16" t="s">
        <v>928</v>
      </c>
      <c r="K302" s="16" t="s">
        <v>662</v>
      </c>
      <c r="L302" s="16"/>
      <c r="M302" s="16" t="str">
        <f>IF(L302="","",H302*L302)</f>
        <v>0</v>
      </c>
    </row>
    <row r="303" spans="1:13">
      <c r="A303" s="15" t="s">
        <v>929</v>
      </c>
      <c r="B303" s="20" t="s">
        <v>930</v>
      </c>
      <c r="C303" s="17"/>
      <c r="D303" s="20" t="s">
        <v>778</v>
      </c>
      <c r="E303" s="20" t="s">
        <v>931</v>
      </c>
      <c r="F303" s="20" t="s">
        <v>695</v>
      </c>
      <c r="G303" s="18">
        <v>89</v>
      </c>
      <c r="H303" s="19" t="str">
        <f>ROUND((89/100*(100-M16)),0)</f>
        <v>0</v>
      </c>
      <c r="I303" s="14">
        <v>284</v>
      </c>
      <c r="J303" s="16" t="s">
        <v>812</v>
      </c>
      <c r="K303" s="16" t="s">
        <v>662</v>
      </c>
      <c r="L303" s="16"/>
      <c r="M303" s="16" t="str">
        <f>IF(L303="","",H303*L303)</f>
        <v>0</v>
      </c>
    </row>
    <row r="304" spans="1:13">
      <c r="A304" s="15" t="s">
        <v>932</v>
      </c>
      <c r="B304" s="16" t="s">
        <v>933</v>
      </c>
      <c r="C304" s="17" t="s">
        <v>32</v>
      </c>
      <c r="D304" s="16" t="s">
        <v>766</v>
      </c>
      <c r="E304" s="16" t="s">
        <v>934</v>
      </c>
      <c r="F304" s="16" t="s">
        <v>695</v>
      </c>
      <c r="G304" s="18">
        <v>428</v>
      </c>
      <c r="H304" s="19" t="str">
        <f>ROUND((428/100*(100-M16)),0)</f>
        <v>0</v>
      </c>
      <c r="I304" s="14">
        <v>458</v>
      </c>
      <c r="J304" s="16" t="s">
        <v>855</v>
      </c>
      <c r="K304" s="16" t="s">
        <v>662</v>
      </c>
      <c r="L304" s="16"/>
      <c r="M304" s="16" t="str">
        <f>IF(L304="","",H304*L304)</f>
        <v>0</v>
      </c>
    </row>
    <row r="305" spans="1:13">
      <c r="A305" s="15"/>
      <c r="B305" s="16"/>
      <c r="C305" s="17"/>
      <c r="D305" s="16"/>
      <c r="E305" s="16"/>
      <c r="F305" s="16"/>
      <c r="G305" s="18"/>
      <c r="H305" s="19"/>
      <c r="J305" s="16"/>
      <c r="K305" s="16"/>
      <c r="L305" s="16"/>
      <c r="M305" s="16"/>
    </row>
    <row r="306" spans="1:13">
      <c r="A306" s="1" t="s">
        <v>0</v>
      </c>
      <c r="B306" s="1" t="s">
        <v>1</v>
      </c>
      <c r="C306" s="1" t="s">
        <v>2</v>
      </c>
      <c r="D306" s="1" t="s">
        <v>3</v>
      </c>
      <c r="E306" s="1" t="s">
        <v>4</v>
      </c>
      <c r="F306" s="1" t="s">
        <v>5</v>
      </c>
      <c r="G306" s="1" t="s">
        <v>6</v>
      </c>
      <c r="H306" s="1" t="s">
        <v>7</v>
      </c>
      <c r="I306" s="2" t="s">
        <v>8</v>
      </c>
      <c r="J306" s="1" t="s">
        <v>9</v>
      </c>
      <c r="K306" s="1" t="s">
        <v>10</v>
      </c>
      <c r="L306" s="3" t="s">
        <v>11</v>
      </c>
      <c r="M306" s="1" t="s">
        <v>12</v>
      </c>
    </row>
    <row r="307" spans="1:13">
      <c r="A307" s="13" t="s">
        <v>935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>
      <c r="A308" s="15" t="s">
        <v>936</v>
      </c>
      <c r="B308" s="20" t="s">
        <v>937</v>
      </c>
      <c r="C308" s="17"/>
      <c r="D308" s="20" t="s">
        <v>938</v>
      </c>
      <c r="E308" s="20" t="s">
        <v>939</v>
      </c>
      <c r="F308" s="20" t="s">
        <v>34</v>
      </c>
      <c r="G308" s="18">
        <v>315</v>
      </c>
      <c r="H308" s="19" t="str">
        <f>ROUND((315/100*(100-M16)),0)</f>
        <v>0</v>
      </c>
      <c r="I308" s="14">
        <v>43</v>
      </c>
      <c r="J308" s="16" t="s">
        <v>940</v>
      </c>
      <c r="K308" s="16" t="s">
        <v>36</v>
      </c>
      <c r="L308" s="16"/>
      <c r="M308" s="16" t="str">
        <f>IF(L308="","",H308*L308)</f>
        <v>0</v>
      </c>
    </row>
    <row r="309" spans="1:13">
      <c r="A309" s="15" t="s">
        <v>941</v>
      </c>
      <c r="B309" s="20" t="s">
        <v>942</v>
      </c>
      <c r="C309" s="17"/>
      <c r="D309" s="20" t="s">
        <v>938</v>
      </c>
      <c r="E309" s="20" t="s">
        <v>943</v>
      </c>
      <c r="F309" s="20" t="s">
        <v>34</v>
      </c>
      <c r="G309" s="18">
        <v>315</v>
      </c>
      <c r="H309" s="19" t="str">
        <f>ROUND((315/100*(100-M16)),0)</f>
        <v>0</v>
      </c>
      <c r="I309" s="14">
        <v>44</v>
      </c>
      <c r="J309" s="16" t="s">
        <v>940</v>
      </c>
      <c r="K309" s="16" t="s">
        <v>36</v>
      </c>
      <c r="L309" s="16"/>
      <c r="M309" s="16" t="str">
        <f>IF(L309="","",H309*L309)</f>
        <v>0</v>
      </c>
    </row>
    <row r="310" spans="1:13">
      <c r="A310" s="15" t="s">
        <v>944</v>
      </c>
      <c r="B310" s="16" t="s">
        <v>945</v>
      </c>
      <c r="C310" s="17" t="s">
        <v>32</v>
      </c>
      <c r="D310" s="16" t="s">
        <v>935</v>
      </c>
      <c r="E310" s="16" t="s">
        <v>946</v>
      </c>
      <c r="F310" s="16" t="s">
        <v>639</v>
      </c>
      <c r="G310" s="18">
        <v>720</v>
      </c>
      <c r="H310" s="19" t="str">
        <f>ROUND((720/100*(100-M16)),0)</f>
        <v>0</v>
      </c>
      <c r="I310" s="14">
        <v>1127</v>
      </c>
      <c r="J310" s="16" t="s">
        <v>947</v>
      </c>
      <c r="K310" s="16" t="s">
        <v>36</v>
      </c>
      <c r="L310" s="16"/>
      <c r="M310" s="16" t="str">
        <f>IF(L310="","",H310*L310)</f>
        <v>0</v>
      </c>
    </row>
    <row r="311" spans="1:13">
      <c r="A311" s="15" t="s">
        <v>948</v>
      </c>
      <c r="B311" s="16" t="s">
        <v>949</v>
      </c>
      <c r="C311" s="17" t="s">
        <v>32</v>
      </c>
      <c r="D311" s="16" t="s">
        <v>935</v>
      </c>
      <c r="E311" s="16" t="s">
        <v>950</v>
      </c>
      <c r="F311" s="16" t="s">
        <v>639</v>
      </c>
      <c r="G311" s="18">
        <v>345</v>
      </c>
      <c r="H311" s="19" t="str">
        <f>ROUND((345/100*(100-M16)),0)</f>
        <v>0</v>
      </c>
      <c r="I311" s="14">
        <v>589</v>
      </c>
      <c r="J311" s="16" t="s">
        <v>951</v>
      </c>
      <c r="K311" s="16" t="s">
        <v>36</v>
      </c>
      <c r="L311" s="16"/>
      <c r="M311" s="16" t="str">
        <f>IF(L311="","",H311*L311)</f>
        <v>0</v>
      </c>
    </row>
    <row r="312" spans="1:13">
      <c r="A312" s="15" t="s">
        <v>952</v>
      </c>
      <c r="B312" s="16" t="s">
        <v>953</v>
      </c>
      <c r="C312" s="17"/>
      <c r="D312" s="16" t="s">
        <v>935</v>
      </c>
      <c r="E312" s="16" t="s">
        <v>954</v>
      </c>
      <c r="F312" s="16" t="s">
        <v>639</v>
      </c>
      <c r="G312" s="18">
        <v>345</v>
      </c>
      <c r="H312" s="19" t="str">
        <f>ROUND((345/100*(100-M16)),0)</f>
        <v>0</v>
      </c>
      <c r="I312" s="14">
        <v>157</v>
      </c>
      <c r="J312" s="16" t="s">
        <v>951</v>
      </c>
      <c r="K312" s="16" t="s">
        <v>36</v>
      </c>
      <c r="L312" s="16"/>
      <c r="M312" s="16" t="str">
        <f>IF(L312="","",H312*L312)</f>
        <v>0</v>
      </c>
    </row>
    <row r="313" spans="1:13">
      <c r="A313" s="15" t="s">
        <v>955</v>
      </c>
      <c r="B313" s="16" t="s">
        <v>956</v>
      </c>
      <c r="C313" s="17" t="s">
        <v>32</v>
      </c>
      <c r="D313" s="16" t="s">
        <v>935</v>
      </c>
      <c r="E313" s="16" t="s">
        <v>957</v>
      </c>
      <c r="F313" s="16" t="s">
        <v>639</v>
      </c>
      <c r="G313" s="18">
        <v>283</v>
      </c>
      <c r="H313" s="19" t="str">
        <f>ROUND((283/100*(100-M16)),0)</f>
        <v>0</v>
      </c>
      <c r="I313" s="14">
        <v>152</v>
      </c>
      <c r="J313" s="16" t="s">
        <v>958</v>
      </c>
      <c r="K313" s="16" t="s">
        <v>36</v>
      </c>
      <c r="L313" s="16"/>
      <c r="M313" s="16" t="str">
        <f>IF(L313="","",H313*L313)</f>
        <v>0</v>
      </c>
    </row>
    <row r="314" spans="1:13">
      <c r="A314" s="15" t="s">
        <v>959</v>
      </c>
      <c r="B314" s="16" t="s">
        <v>960</v>
      </c>
      <c r="C314" s="17" t="s">
        <v>32</v>
      </c>
      <c r="D314" s="16" t="s">
        <v>935</v>
      </c>
      <c r="E314" s="16" t="s">
        <v>961</v>
      </c>
      <c r="F314" s="16" t="s">
        <v>639</v>
      </c>
      <c r="G314" s="18">
        <v>283</v>
      </c>
      <c r="H314" s="19" t="str">
        <f>ROUND((283/100*(100-M16)),0)</f>
        <v>0</v>
      </c>
      <c r="I314" s="14">
        <v>2</v>
      </c>
      <c r="J314" s="16" t="s">
        <v>958</v>
      </c>
      <c r="K314" s="16" t="s">
        <v>36</v>
      </c>
      <c r="L314" s="16"/>
      <c r="M314" s="16" t="str">
        <f>IF(L314="","",H314*L314)</f>
        <v>0</v>
      </c>
    </row>
    <row r="315" spans="1:13">
      <c r="A315" s="15" t="s">
        <v>962</v>
      </c>
      <c r="B315" s="16" t="s">
        <v>963</v>
      </c>
      <c r="C315" s="17" t="s">
        <v>32</v>
      </c>
      <c r="D315" s="16" t="s">
        <v>935</v>
      </c>
      <c r="E315" s="16" t="s">
        <v>964</v>
      </c>
      <c r="F315" s="16" t="s">
        <v>639</v>
      </c>
      <c r="G315" s="18">
        <v>283</v>
      </c>
      <c r="H315" s="19" t="str">
        <f>ROUND((283/100*(100-M16)),0)</f>
        <v>0</v>
      </c>
      <c r="I315" s="14">
        <v>60</v>
      </c>
      <c r="J315" s="16" t="s">
        <v>958</v>
      </c>
      <c r="K315" s="16" t="s">
        <v>36</v>
      </c>
      <c r="L315" s="16"/>
      <c r="M315" s="16" t="str">
        <f>IF(L315="","",H315*L315)</f>
        <v>0</v>
      </c>
    </row>
    <row r="316" spans="1:13">
      <c r="A316" s="15" t="s">
        <v>965</v>
      </c>
      <c r="B316" s="16" t="s">
        <v>966</v>
      </c>
      <c r="C316" s="17" t="s">
        <v>32</v>
      </c>
      <c r="D316" s="16" t="s">
        <v>935</v>
      </c>
      <c r="E316" s="16" t="s">
        <v>967</v>
      </c>
      <c r="F316" s="16" t="s">
        <v>639</v>
      </c>
      <c r="G316" s="18">
        <v>283</v>
      </c>
      <c r="H316" s="19" t="str">
        <f>ROUND((283/100*(100-M16)),0)</f>
        <v>0</v>
      </c>
      <c r="I316" s="14">
        <v>125</v>
      </c>
      <c r="J316" s="16" t="s">
        <v>958</v>
      </c>
      <c r="K316" s="16" t="s">
        <v>36</v>
      </c>
      <c r="L316" s="16"/>
      <c r="M316" s="16" t="str">
        <f>IF(L316="","",H316*L316)</f>
        <v>0</v>
      </c>
    </row>
    <row r="317" spans="1:13">
      <c r="A317" s="15" t="s">
        <v>968</v>
      </c>
      <c r="B317" s="16" t="s">
        <v>969</v>
      </c>
      <c r="C317" s="17" t="s">
        <v>32</v>
      </c>
      <c r="D317" s="16" t="s">
        <v>935</v>
      </c>
      <c r="E317" s="16" t="s">
        <v>970</v>
      </c>
      <c r="F317" s="16" t="s">
        <v>639</v>
      </c>
      <c r="G317" s="18">
        <v>283</v>
      </c>
      <c r="H317" s="19" t="str">
        <f>ROUND((283/100*(100-M16)),0)</f>
        <v>0</v>
      </c>
      <c r="I317" s="14">
        <v>111</v>
      </c>
      <c r="J317" s="16" t="s">
        <v>958</v>
      </c>
      <c r="K317" s="16" t="s">
        <v>36</v>
      </c>
      <c r="L317" s="16"/>
      <c r="M317" s="16" t="str">
        <f>IF(L317="","",H317*L317)</f>
        <v>0</v>
      </c>
    </row>
    <row r="318" spans="1:13">
      <c r="A318" s="15" t="s">
        <v>971</v>
      </c>
      <c r="B318" s="16" t="s">
        <v>972</v>
      </c>
      <c r="C318" s="17" t="s">
        <v>32</v>
      </c>
      <c r="D318" s="16" t="s">
        <v>935</v>
      </c>
      <c r="E318" s="16" t="s">
        <v>973</v>
      </c>
      <c r="F318" s="16" t="s">
        <v>639</v>
      </c>
      <c r="G318" s="18">
        <v>283</v>
      </c>
      <c r="H318" s="19" t="str">
        <f>ROUND((283/100*(100-M16)),0)</f>
        <v>0</v>
      </c>
      <c r="I318" s="14">
        <v>29</v>
      </c>
      <c r="J318" s="16" t="s">
        <v>958</v>
      </c>
      <c r="K318" s="16" t="s">
        <v>36</v>
      </c>
      <c r="L318" s="16"/>
      <c r="M318" s="16" t="str">
        <f>IF(L318="","",H318*L318)</f>
        <v>0</v>
      </c>
    </row>
    <row r="319" spans="1:13">
      <c r="A319" s="15" t="s">
        <v>974</v>
      </c>
      <c r="B319" s="16" t="s">
        <v>975</v>
      </c>
      <c r="C319" s="17"/>
      <c r="D319" s="16" t="s">
        <v>935</v>
      </c>
      <c r="E319" s="16" t="s">
        <v>976</v>
      </c>
      <c r="F319" s="16" t="s">
        <v>639</v>
      </c>
      <c r="G319" s="18">
        <v>283</v>
      </c>
      <c r="H319" s="19" t="str">
        <f>ROUND((283/100*(100-M16)),0)</f>
        <v>0</v>
      </c>
      <c r="I319" s="14">
        <v>188</v>
      </c>
      <c r="J319" s="16" t="s">
        <v>958</v>
      </c>
      <c r="K319" s="16" t="s">
        <v>36</v>
      </c>
      <c r="L319" s="16"/>
      <c r="M319" s="16" t="str">
        <f>IF(L319="","",H319*L319)</f>
        <v>0</v>
      </c>
    </row>
    <row r="320" spans="1:13">
      <c r="A320" s="15" t="s">
        <v>977</v>
      </c>
      <c r="B320" s="16" t="s">
        <v>978</v>
      </c>
      <c r="C320" s="17"/>
      <c r="D320" s="16" t="s">
        <v>935</v>
      </c>
      <c r="E320" s="16" t="s">
        <v>979</v>
      </c>
      <c r="F320" s="16" t="s">
        <v>639</v>
      </c>
      <c r="G320" s="18">
        <v>1415</v>
      </c>
      <c r="H320" s="19" t="str">
        <f>ROUND((1415/100*(100-M16)),0)</f>
        <v>0</v>
      </c>
      <c r="I320" s="14">
        <v>53</v>
      </c>
      <c r="J320" s="16" t="s">
        <v>980</v>
      </c>
      <c r="K320" s="16" t="s">
        <v>662</v>
      </c>
      <c r="L320" s="16"/>
      <c r="M320" s="16" t="str">
        <f>IF(L320="","",H320*L320)</f>
        <v>0</v>
      </c>
    </row>
    <row r="321" spans="1:13">
      <c r="A321" s="15" t="s">
        <v>981</v>
      </c>
      <c r="B321" s="16" t="s">
        <v>982</v>
      </c>
      <c r="C321" s="17" t="s">
        <v>32</v>
      </c>
      <c r="D321" s="16" t="s">
        <v>935</v>
      </c>
      <c r="E321" s="16" t="s">
        <v>983</v>
      </c>
      <c r="F321" s="16" t="s">
        <v>639</v>
      </c>
      <c r="G321" s="18">
        <v>283</v>
      </c>
      <c r="H321" s="19" t="str">
        <f>ROUND((283/100*(100-M16)),0)</f>
        <v>0</v>
      </c>
      <c r="I321" s="14">
        <v>138</v>
      </c>
      <c r="J321" s="16" t="s">
        <v>958</v>
      </c>
      <c r="K321" s="16" t="s">
        <v>36</v>
      </c>
      <c r="L321" s="16"/>
      <c r="M321" s="16" t="str">
        <f>IF(L321="","",H321*L321)</f>
        <v>0</v>
      </c>
    </row>
    <row r="322" spans="1:13">
      <c r="A322" s="15" t="s">
        <v>984</v>
      </c>
      <c r="B322" s="16" t="s">
        <v>985</v>
      </c>
      <c r="C322" s="17" t="s">
        <v>32</v>
      </c>
      <c r="D322" s="16" t="s">
        <v>935</v>
      </c>
      <c r="E322" s="16" t="s">
        <v>986</v>
      </c>
      <c r="F322" s="16" t="s">
        <v>639</v>
      </c>
      <c r="G322" s="18">
        <v>283</v>
      </c>
      <c r="H322" s="19" t="str">
        <f>ROUND((283/100*(100-M16)),0)</f>
        <v>0</v>
      </c>
      <c r="I322" s="14">
        <v>160</v>
      </c>
      <c r="J322" s="16" t="s">
        <v>958</v>
      </c>
      <c r="K322" s="16" t="s">
        <v>36</v>
      </c>
      <c r="L322" s="16"/>
      <c r="M322" s="16" t="str">
        <f>IF(L322="","",H322*L322)</f>
        <v>0</v>
      </c>
    </row>
    <row r="323" spans="1:13">
      <c r="A323" s="15" t="s">
        <v>987</v>
      </c>
      <c r="B323" s="16" t="s">
        <v>988</v>
      </c>
      <c r="C323" s="17" t="s">
        <v>32</v>
      </c>
      <c r="D323" s="16" t="s">
        <v>935</v>
      </c>
      <c r="E323" s="16" t="s">
        <v>989</v>
      </c>
      <c r="F323" s="16" t="s">
        <v>639</v>
      </c>
      <c r="G323" s="18">
        <v>200</v>
      </c>
      <c r="H323" s="19" t="str">
        <f>ROUND((200/100*(100-M16)),0)</f>
        <v>0</v>
      </c>
      <c r="I323" s="14">
        <v>35</v>
      </c>
      <c r="J323" s="16" t="s">
        <v>990</v>
      </c>
      <c r="K323" s="16" t="s">
        <v>36</v>
      </c>
      <c r="L323" s="16"/>
      <c r="M323" s="16" t="str">
        <f>IF(L323="","",H323*L323)</f>
        <v>0</v>
      </c>
    </row>
    <row r="324" spans="1:13">
      <c r="A324" s="15" t="s">
        <v>991</v>
      </c>
      <c r="B324" s="16" t="s">
        <v>992</v>
      </c>
      <c r="C324" s="17" t="s">
        <v>32</v>
      </c>
      <c r="D324" s="16" t="s">
        <v>935</v>
      </c>
      <c r="E324" s="16" t="s">
        <v>993</v>
      </c>
      <c r="F324" s="16" t="s">
        <v>639</v>
      </c>
      <c r="G324" s="18">
        <v>200</v>
      </c>
      <c r="H324" s="19" t="str">
        <f>ROUND((200/100*(100-M16)),0)</f>
        <v>0</v>
      </c>
      <c r="I324" s="14">
        <v>240</v>
      </c>
      <c r="J324" s="16" t="s">
        <v>990</v>
      </c>
      <c r="K324" s="16" t="s">
        <v>36</v>
      </c>
      <c r="L324" s="16"/>
      <c r="M324" s="16" t="str">
        <f>IF(L324="","",H324*L324)</f>
        <v>0</v>
      </c>
    </row>
    <row r="325" spans="1:13">
      <c r="A325" s="15" t="s">
        <v>994</v>
      </c>
      <c r="B325" s="16" t="s">
        <v>995</v>
      </c>
      <c r="C325" s="17" t="s">
        <v>32</v>
      </c>
      <c r="D325" s="16" t="s">
        <v>935</v>
      </c>
      <c r="E325" s="16" t="s">
        <v>996</v>
      </c>
      <c r="F325" s="16" t="s">
        <v>639</v>
      </c>
      <c r="G325" s="18">
        <v>200</v>
      </c>
      <c r="H325" s="19" t="str">
        <f>ROUND((200/100*(100-M16)),0)</f>
        <v>0</v>
      </c>
      <c r="I325" s="14">
        <v>117</v>
      </c>
      <c r="J325" s="16" t="s">
        <v>990</v>
      </c>
      <c r="K325" s="16" t="s">
        <v>36</v>
      </c>
      <c r="L325" s="16"/>
      <c r="M325" s="16" t="str">
        <f>IF(L325="","",H325*L325)</f>
        <v>0</v>
      </c>
    </row>
    <row r="326" spans="1:13">
      <c r="A326" s="15" t="s">
        <v>997</v>
      </c>
      <c r="B326" s="16" t="s">
        <v>998</v>
      </c>
      <c r="C326" s="17" t="s">
        <v>32</v>
      </c>
      <c r="D326" s="16" t="s">
        <v>935</v>
      </c>
      <c r="E326" s="16" t="s">
        <v>999</v>
      </c>
      <c r="F326" s="16" t="s">
        <v>639</v>
      </c>
      <c r="G326" s="18">
        <v>200</v>
      </c>
      <c r="H326" s="19" t="str">
        <f>ROUND((200/100*(100-M16)),0)</f>
        <v>0</v>
      </c>
      <c r="I326" s="14">
        <v>341</v>
      </c>
      <c r="J326" s="16" t="s">
        <v>990</v>
      </c>
      <c r="K326" s="16" t="s">
        <v>36</v>
      </c>
      <c r="L326" s="16"/>
      <c r="M326" s="16" t="str">
        <f>IF(L326="","",H326*L326)</f>
        <v>0</v>
      </c>
    </row>
    <row r="327" spans="1:13">
      <c r="A327" s="15" t="s">
        <v>1000</v>
      </c>
      <c r="B327" s="16" t="s">
        <v>1001</v>
      </c>
      <c r="C327" s="17" t="s">
        <v>32</v>
      </c>
      <c r="D327" s="16" t="s">
        <v>935</v>
      </c>
      <c r="E327" s="16" t="s">
        <v>1002</v>
      </c>
      <c r="F327" s="16" t="s">
        <v>639</v>
      </c>
      <c r="G327" s="18">
        <v>200</v>
      </c>
      <c r="H327" s="19" t="str">
        <f>ROUND((200/100*(100-M16)),0)</f>
        <v>0</v>
      </c>
      <c r="I327" s="14">
        <v>390</v>
      </c>
      <c r="J327" s="16" t="s">
        <v>990</v>
      </c>
      <c r="K327" s="16" t="s">
        <v>36</v>
      </c>
      <c r="L327" s="16"/>
      <c r="M327" s="16" t="str">
        <f>IF(L327="","",H327*L327)</f>
        <v>0</v>
      </c>
    </row>
    <row r="328" spans="1:13">
      <c r="A328" s="15" t="s">
        <v>1003</v>
      </c>
      <c r="B328" s="16" t="s">
        <v>1004</v>
      </c>
      <c r="C328" s="17"/>
      <c r="D328" s="16" t="s">
        <v>935</v>
      </c>
      <c r="E328" s="16" t="s">
        <v>1005</v>
      </c>
      <c r="F328" s="16" t="s">
        <v>639</v>
      </c>
      <c r="G328" s="18">
        <v>200</v>
      </c>
      <c r="H328" s="19" t="str">
        <f>ROUND((200/100*(100-M16)),0)</f>
        <v>0</v>
      </c>
      <c r="I328" s="14">
        <v>24</v>
      </c>
      <c r="J328" s="16" t="s">
        <v>990</v>
      </c>
      <c r="K328" s="16" t="s">
        <v>36</v>
      </c>
      <c r="L328" s="16"/>
      <c r="M328" s="16" t="str">
        <f>IF(L328="","",H328*L328)</f>
        <v>0</v>
      </c>
    </row>
    <row r="329" spans="1:13">
      <c r="A329" s="15" t="s">
        <v>1006</v>
      </c>
      <c r="B329" s="16" t="s">
        <v>1007</v>
      </c>
      <c r="C329" s="17" t="s">
        <v>32</v>
      </c>
      <c r="D329" s="16" t="s">
        <v>935</v>
      </c>
      <c r="E329" s="16" t="s">
        <v>1008</v>
      </c>
      <c r="F329" s="16" t="s">
        <v>639</v>
      </c>
      <c r="G329" s="18">
        <v>200</v>
      </c>
      <c r="H329" s="19" t="str">
        <f>ROUND((200/100*(100-M16)),0)</f>
        <v>0</v>
      </c>
      <c r="I329" s="14">
        <v>491</v>
      </c>
      <c r="J329" s="16" t="s">
        <v>990</v>
      </c>
      <c r="K329" s="16" t="s">
        <v>36</v>
      </c>
      <c r="L329" s="16"/>
      <c r="M329" s="16" t="str">
        <f>IF(L329="","",H329*L329)</f>
        <v>0</v>
      </c>
    </row>
    <row r="330" spans="1:13">
      <c r="A330" s="15" t="s">
        <v>1009</v>
      </c>
      <c r="B330" s="16" t="s">
        <v>1010</v>
      </c>
      <c r="C330" s="17"/>
      <c r="D330" s="16" t="s">
        <v>935</v>
      </c>
      <c r="E330" s="16" t="s">
        <v>1011</v>
      </c>
      <c r="F330" s="16" t="s">
        <v>639</v>
      </c>
      <c r="G330" s="18">
        <v>200</v>
      </c>
      <c r="H330" s="19" t="str">
        <f>ROUND((200/100*(100-M16)),0)</f>
        <v>0</v>
      </c>
      <c r="I330" s="14">
        <v>812</v>
      </c>
      <c r="J330" s="16" t="s">
        <v>990</v>
      </c>
      <c r="K330" s="16" t="s">
        <v>36</v>
      </c>
      <c r="L330" s="16"/>
      <c r="M330" s="16" t="str">
        <f>IF(L330="","",H330*L330)</f>
        <v>0</v>
      </c>
    </row>
    <row r="331" spans="1:13">
      <c r="A331" s="15" t="s">
        <v>1012</v>
      </c>
      <c r="B331" s="16" t="s">
        <v>1013</v>
      </c>
      <c r="C331" s="17" t="s">
        <v>32</v>
      </c>
      <c r="D331" s="16" t="s">
        <v>935</v>
      </c>
      <c r="E331" s="16" t="s">
        <v>1014</v>
      </c>
      <c r="F331" s="16" t="s">
        <v>639</v>
      </c>
      <c r="G331" s="18">
        <v>200</v>
      </c>
      <c r="H331" s="19" t="str">
        <f>ROUND((200/100*(100-M16)),0)</f>
        <v>0</v>
      </c>
      <c r="I331" s="14">
        <v>127</v>
      </c>
      <c r="J331" s="16" t="s">
        <v>990</v>
      </c>
      <c r="K331" s="16" t="s">
        <v>36</v>
      </c>
      <c r="L331" s="16"/>
      <c r="M331" s="16" t="str">
        <f>IF(L331="","",H331*L331)</f>
        <v>0</v>
      </c>
    </row>
    <row r="332" spans="1:13">
      <c r="A332" s="15" t="s">
        <v>1015</v>
      </c>
      <c r="B332" s="16" t="s">
        <v>1016</v>
      </c>
      <c r="C332" s="17" t="s">
        <v>32</v>
      </c>
      <c r="D332" s="16" t="s">
        <v>935</v>
      </c>
      <c r="E332" s="16" t="s">
        <v>1017</v>
      </c>
      <c r="F332" s="16" t="s">
        <v>639</v>
      </c>
      <c r="G332" s="18">
        <v>200</v>
      </c>
      <c r="H332" s="19" t="str">
        <f>ROUND((200/100*(100-M16)),0)</f>
        <v>0</v>
      </c>
      <c r="I332" s="14">
        <v>190</v>
      </c>
      <c r="J332" s="16" t="s">
        <v>990</v>
      </c>
      <c r="K332" s="16" t="s">
        <v>36</v>
      </c>
      <c r="L332" s="16"/>
      <c r="M332" s="16" t="str">
        <f>IF(L332="","",H332*L332)</f>
        <v>0</v>
      </c>
    </row>
    <row r="333" spans="1:13">
      <c r="A333" s="15" t="s">
        <v>1018</v>
      </c>
      <c r="B333" s="16" t="s">
        <v>1019</v>
      </c>
      <c r="C333" s="17" t="s">
        <v>32</v>
      </c>
      <c r="D333" s="16" t="s">
        <v>935</v>
      </c>
      <c r="E333" s="16" t="s">
        <v>1020</v>
      </c>
      <c r="F333" s="16" t="s">
        <v>695</v>
      </c>
      <c r="G333" s="18">
        <v>290</v>
      </c>
      <c r="H333" s="19" t="str">
        <f>ROUND((290/100*(100-M16)),0)</f>
        <v>0</v>
      </c>
      <c r="I333" s="14">
        <v>23</v>
      </c>
      <c r="J333" s="16" t="s">
        <v>1021</v>
      </c>
      <c r="K333" s="16" t="s">
        <v>36</v>
      </c>
      <c r="L333" s="16"/>
      <c r="M333" s="16" t="str">
        <f>IF(L333="","",H333*L333)</f>
        <v>0</v>
      </c>
    </row>
    <row r="334" spans="1:13">
      <c r="A334" s="15" t="s">
        <v>1022</v>
      </c>
      <c r="B334" s="16" t="s">
        <v>1023</v>
      </c>
      <c r="C334" s="17" t="s">
        <v>32</v>
      </c>
      <c r="D334" s="16" t="s">
        <v>935</v>
      </c>
      <c r="E334" s="16" t="s">
        <v>1024</v>
      </c>
      <c r="F334" s="16" t="s">
        <v>695</v>
      </c>
      <c r="G334" s="18">
        <v>290</v>
      </c>
      <c r="H334" s="19" t="str">
        <f>ROUND((290/100*(100-M16)),0)</f>
        <v>0</v>
      </c>
      <c r="I334" s="14">
        <v>45</v>
      </c>
      <c r="J334" s="16" t="s">
        <v>1021</v>
      </c>
      <c r="K334" s="16" t="s">
        <v>36</v>
      </c>
      <c r="L334" s="16"/>
      <c r="M334" s="16" t="str">
        <f>IF(L334="","",H334*L334)</f>
        <v>0</v>
      </c>
    </row>
    <row r="335" spans="1:13">
      <c r="A335" s="15" t="s">
        <v>1025</v>
      </c>
      <c r="B335" s="16" t="s">
        <v>1026</v>
      </c>
      <c r="C335" s="17" t="s">
        <v>32</v>
      </c>
      <c r="D335" s="16" t="s">
        <v>935</v>
      </c>
      <c r="E335" s="16" t="s">
        <v>1027</v>
      </c>
      <c r="F335" s="16" t="s">
        <v>695</v>
      </c>
      <c r="G335" s="18">
        <v>290</v>
      </c>
      <c r="H335" s="19" t="str">
        <f>ROUND((290/100*(100-M16)),0)</f>
        <v>0</v>
      </c>
      <c r="I335" s="14">
        <v>42</v>
      </c>
      <c r="J335" s="16" t="s">
        <v>1021</v>
      </c>
      <c r="K335" s="16" t="s">
        <v>36</v>
      </c>
      <c r="L335" s="16"/>
      <c r="M335" s="16" t="str">
        <f>IF(L335="","",H335*L335)</f>
        <v>0</v>
      </c>
    </row>
    <row r="336" spans="1:13">
      <c r="A336" s="15" t="s">
        <v>1028</v>
      </c>
      <c r="B336" s="16" t="s">
        <v>1029</v>
      </c>
      <c r="C336" s="17" t="s">
        <v>32</v>
      </c>
      <c r="D336" s="16" t="s">
        <v>935</v>
      </c>
      <c r="E336" s="16" t="s">
        <v>1030</v>
      </c>
      <c r="F336" s="16" t="s">
        <v>695</v>
      </c>
      <c r="G336" s="18">
        <v>290</v>
      </c>
      <c r="H336" s="19" t="str">
        <f>ROUND((290/100*(100-M16)),0)</f>
        <v>0</v>
      </c>
      <c r="I336" s="14">
        <v>71</v>
      </c>
      <c r="J336" s="16" t="s">
        <v>1021</v>
      </c>
      <c r="K336" s="16" t="s">
        <v>36</v>
      </c>
      <c r="L336" s="16"/>
      <c r="M336" s="16" t="str">
        <f>IF(L336="","",H336*L336)</f>
        <v>0</v>
      </c>
    </row>
    <row r="337" spans="1:13">
      <c r="A337" s="15" t="s">
        <v>1031</v>
      </c>
      <c r="B337" s="16" t="s">
        <v>1032</v>
      </c>
      <c r="C337" s="17" t="s">
        <v>32</v>
      </c>
      <c r="D337" s="16" t="s">
        <v>935</v>
      </c>
      <c r="E337" s="16" t="s">
        <v>1033</v>
      </c>
      <c r="F337" s="16" t="s">
        <v>695</v>
      </c>
      <c r="G337" s="18">
        <v>290</v>
      </c>
      <c r="H337" s="19" t="str">
        <f>ROUND((290/100*(100-M16)),0)</f>
        <v>0</v>
      </c>
      <c r="I337" s="14">
        <v>26</v>
      </c>
      <c r="J337" s="16" t="s">
        <v>1021</v>
      </c>
      <c r="K337" s="16" t="s">
        <v>36</v>
      </c>
      <c r="L337" s="16"/>
      <c r="M337" s="16" t="str">
        <f>IF(L337="","",H337*L337)</f>
        <v>0</v>
      </c>
    </row>
    <row r="338" spans="1:13">
      <c r="A338" s="15" t="s">
        <v>1034</v>
      </c>
      <c r="B338" s="16" t="s">
        <v>1035</v>
      </c>
      <c r="C338" s="17"/>
      <c r="D338" s="16" t="s">
        <v>935</v>
      </c>
      <c r="E338" s="16" t="s">
        <v>1036</v>
      </c>
      <c r="F338" s="16" t="s">
        <v>695</v>
      </c>
      <c r="G338" s="18">
        <v>290</v>
      </c>
      <c r="H338" s="19" t="str">
        <f>ROUND((290/100*(100-M16)),0)</f>
        <v>0</v>
      </c>
      <c r="I338" s="14">
        <v>128</v>
      </c>
      <c r="J338" s="16" t="s">
        <v>1021</v>
      </c>
      <c r="K338" s="16" t="s">
        <v>36</v>
      </c>
      <c r="L338" s="16"/>
      <c r="M338" s="16" t="str">
        <f>IF(L338="","",H338*L338)</f>
        <v>0</v>
      </c>
    </row>
    <row r="339" spans="1:13">
      <c r="A339" s="15" t="s">
        <v>1037</v>
      </c>
      <c r="B339" s="16" t="s">
        <v>1038</v>
      </c>
      <c r="C339" s="17" t="s">
        <v>32</v>
      </c>
      <c r="D339" s="16" t="s">
        <v>935</v>
      </c>
      <c r="E339" s="16" t="s">
        <v>1039</v>
      </c>
      <c r="F339" s="16" t="s">
        <v>695</v>
      </c>
      <c r="G339" s="18">
        <v>226</v>
      </c>
      <c r="H339" s="19" t="str">
        <f>ROUND((226/100*(100-M16)),0)</f>
        <v>0</v>
      </c>
      <c r="I339" s="14">
        <v>376</v>
      </c>
      <c r="J339" s="16" t="s">
        <v>1040</v>
      </c>
      <c r="K339" s="16" t="s">
        <v>36</v>
      </c>
      <c r="L339" s="16"/>
      <c r="M339" s="16" t="str">
        <f>IF(L339="","",H339*L339)</f>
        <v>0</v>
      </c>
    </row>
    <row r="340" spans="1:13">
      <c r="A340" s="15" t="s">
        <v>1041</v>
      </c>
      <c r="B340" s="16" t="s">
        <v>1042</v>
      </c>
      <c r="C340" s="17" t="s">
        <v>32</v>
      </c>
      <c r="D340" s="16" t="s">
        <v>935</v>
      </c>
      <c r="E340" s="16" t="s">
        <v>1043</v>
      </c>
      <c r="F340" s="16" t="s">
        <v>695</v>
      </c>
      <c r="G340" s="18">
        <v>226</v>
      </c>
      <c r="H340" s="19" t="str">
        <f>ROUND((226/100*(100-M16)),0)</f>
        <v>0</v>
      </c>
      <c r="I340" s="14">
        <v>262</v>
      </c>
      <c r="J340" s="16" t="s">
        <v>1040</v>
      </c>
      <c r="K340" s="16" t="s">
        <v>36</v>
      </c>
      <c r="L340" s="16"/>
      <c r="M340" s="16" t="str">
        <f>IF(L340="","",H340*L340)</f>
        <v>0</v>
      </c>
    </row>
    <row r="341" spans="1:13">
      <c r="A341" s="15" t="s">
        <v>1044</v>
      </c>
      <c r="B341" s="16" t="s">
        <v>1045</v>
      </c>
      <c r="C341" s="17" t="s">
        <v>32</v>
      </c>
      <c r="D341" s="16" t="s">
        <v>935</v>
      </c>
      <c r="E341" s="16" t="s">
        <v>1046</v>
      </c>
      <c r="F341" s="16" t="s">
        <v>695</v>
      </c>
      <c r="G341" s="18">
        <v>580</v>
      </c>
      <c r="H341" s="19" t="str">
        <f>ROUND((580/100*(100-M16)),0)</f>
        <v>0</v>
      </c>
      <c r="I341" s="14">
        <v>8</v>
      </c>
      <c r="J341" s="16" t="s">
        <v>1047</v>
      </c>
      <c r="K341" s="16" t="s">
        <v>36</v>
      </c>
      <c r="L341" s="16"/>
      <c r="M341" s="16" t="str">
        <f>IF(L341="","",H341*L341)</f>
        <v>0</v>
      </c>
    </row>
    <row r="342" spans="1:13">
      <c r="A342" s="15" t="s">
        <v>1048</v>
      </c>
      <c r="B342" s="16" t="s">
        <v>1049</v>
      </c>
      <c r="C342" s="17" t="s">
        <v>32</v>
      </c>
      <c r="D342" s="16" t="s">
        <v>935</v>
      </c>
      <c r="E342" s="16" t="s">
        <v>1050</v>
      </c>
      <c r="F342" s="16" t="s">
        <v>695</v>
      </c>
      <c r="G342" s="18">
        <v>580</v>
      </c>
      <c r="H342" s="19" t="str">
        <f>ROUND((580/100*(100-M16)),0)</f>
        <v>0</v>
      </c>
      <c r="I342" s="14">
        <v>28</v>
      </c>
      <c r="J342" s="16" t="s">
        <v>1047</v>
      </c>
      <c r="K342" s="16" t="s">
        <v>36</v>
      </c>
      <c r="L342" s="16"/>
      <c r="M342" s="16" t="str">
        <f>IF(L342="","",H342*L342)</f>
        <v>0</v>
      </c>
    </row>
    <row r="343" spans="1:13">
      <c r="A343" s="15" t="s">
        <v>1051</v>
      </c>
      <c r="B343" s="16" t="s">
        <v>1052</v>
      </c>
      <c r="C343" s="17" t="s">
        <v>32</v>
      </c>
      <c r="D343" s="16" t="s">
        <v>935</v>
      </c>
      <c r="E343" s="16" t="s">
        <v>1053</v>
      </c>
      <c r="F343" s="16" t="s">
        <v>695</v>
      </c>
      <c r="G343" s="18">
        <v>580</v>
      </c>
      <c r="H343" s="19" t="str">
        <f>ROUND((580/100*(100-M16)),0)</f>
        <v>0</v>
      </c>
      <c r="I343" s="14">
        <v>3</v>
      </c>
      <c r="J343" s="16" t="s">
        <v>1047</v>
      </c>
      <c r="K343" s="16" t="s">
        <v>36</v>
      </c>
      <c r="L343" s="16"/>
      <c r="M343" s="16" t="str">
        <f>IF(L343="","",H343*L343)</f>
        <v>0</v>
      </c>
    </row>
    <row r="344" spans="1:13">
      <c r="A344" s="15" t="s">
        <v>1054</v>
      </c>
      <c r="B344" s="16" t="s">
        <v>1055</v>
      </c>
      <c r="C344" s="17" t="s">
        <v>32</v>
      </c>
      <c r="D344" s="16" t="s">
        <v>935</v>
      </c>
      <c r="E344" s="16" t="s">
        <v>1056</v>
      </c>
      <c r="F344" s="16" t="s">
        <v>695</v>
      </c>
      <c r="G344" s="18">
        <v>580</v>
      </c>
      <c r="H344" s="19" t="str">
        <f>ROUND((580/100*(100-M16)),0)</f>
        <v>0</v>
      </c>
      <c r="I344" s="14">
        <v>10</v>
      </c>
      <c r="J344" s="16" t="s">
        <v>1047</v>
      </c>
      <c r="K344" s="16" t="s">
        <v>36</v>
      </c>
      <c r="L344" s="16"/>
      <c r="M344" s="16" t="str">
        <f>IF(L344="","",H344*L344)</f>
        <v>0</v>
      </c>
    </row>
    <row r="345" spans="1:13">
      <c r="A345" s="15"/>
      <c r="B345" s="16"/>
      <c r="C345" s="17"/>
      <c r="D345" s="16"/>
      <c r="E345" s="16"/>
      <c r="F345" s="16"/>
      <c r="G345" s="18"/>
      <c r="H345" s="19"/>
      <c r="J345" s="16"/>
      <c r="K345" s="16"/>
      <c r="L345" s="16"/>
      <c r="M345" s="16"/>
    </row>
    <row r="346" spans="1:13">
      <c r="A346" s="1" t="s">
        <v>0</v>
      </c>
      <c r="B346" s="1" t="s">
        <v>1</v>
      </c>
      <c r="C346" s="1" t="s">
        <v>2</v>
      </c>
      <c r="D346" s="1" t="s">
        <v>3</v>
      </c>
      <c r="E346" s="1" t="s">
        <v>4</v>
      </c>
      <c r="F346" s="1" t="s">
        <v>5</v>
      </c>
      <c r="G346" s="1" t="s">
        <v>6</v>
      </c>
      <c r="H346" s="1" t="s">
        <v>7</v>
      </c>
      <c r="I346" s="2" t="s">
        <v>8</v>
      </c>
      <c r="J346" s="1" t="s">
        <v>9</v>
      </c>
      <c r="K346" s="1" t="s">
        <v>10</v>
      </c>
      <c r="L346" s="3" t="s">
        <v>11</v>
      </c>
      <c r="M346" s="1" t="s">
        <v>12</v>
      </c>
    </row>
    <row r="347" spans="1:13">
      <c r="A347" s="13" t="s">
        <v>1057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>
      <c r="A348" s="15" t="s">
        <v>1058</v>
      </c>
      <c r="B348" s="16" t="s">
        <v>1059</v>
      </c>
      <c r="C348" s="17" t="s">
        <v>32</v>
      </c>
      <c r="D348" s="16" t="s">
        <v>1057</v>
      </c>
      <c r="E348" s="16" t="s">
        <v>1060</v>
      </c>
      <c r="F348" s="16" t="s">
        <v>34</v>
      </c>
      <c r="G348" s="18">
        <v>3990</v>
      </c>
      <c r="H348" s="19" t="str">
        <f>ROUND((3990/100*(100-M16)),0)</f>
        <v>0</v>
      </c>
      <c r="I348" s="14">
        <v>10</v>
      </c>
      <c r="J348" s="16" t="s">
        <v>1061</v>
      </c>
      <c r="K348" s="16" t="s">
        <v>771</v>
      </c>
      <c r="L348" s="16"/>
      <c r="M348" s="16" t="str">
        <f>IF(L348="","",H348*L348)</f>
        <v>0</v>
      </c>
    </row>
    <row r="349" spans="1:13">
      <c r="A349" s="15" t="s">
        <v>1062</v>
      </c>
      <c r="B349" s="16" t="s">
        <v>1063</v>
      </c>
      <c r="C349" s="17" t="s">
        <v>32</v>
      </c>
      <c r="D349" s="16" t="s">
        <v>1057</v>
      </c>
      <c r="E349" s="16" t="s">
        <v>1064</v>
      </c>
      <c r="F349" s="16" t="s">
        <v>34</v>
      </c>
      <c r="G349" s="18">
        <v>1098</v>
      </c>
      <c r="H349" s="19" t="str">
        <f>ROUND((1098/100*(100-M16)),0)</f>
        <v>0</v>
      </c>
      <c r="I349" s="14">
        <v>16</v>
      </c>
      <c r="J349" s="16" t="s">
        <v>1065</v>
      </c>
      <c r="K349" s="16" t="s">
        <v>662</v>
      </c>
      <c r="L349" s="16"/>
      <c r="M349" s="16" t="str">
        <f>IF(L349="","",H349*L349)</f>
        <v>0</v>
      </c>
    </row>
    <row r="350" spans="1:13">
      <c r="A350" s="15" t="s">
        <v>1066</v>
      </c>
      <c r="B350" s="16" t="s">
        <v>1067</v>
      </c>
      <c r="C350" s="17" t="s">
        <v>32</v>
      </c>
      <c r="D350" s="16" t="s">
        <v>1057</v>
      </c>
      <c r="E350" s="16" t="s">
        <v>1068</v>
      </c>
      <c r="F350" s="16" t="s">
        <v>34</v>
      </c>
      <c r="G350" s="18">
        <v>410</v>
      </c>
      <c r="H350" s="19" t="str">
        <f>ROUND((410/100*(100-M16)),0)</f>
        <v>0</v>
      </c>
      <c r="I350" s="14">
        <v>10</v>
      </c>
      <c r="J350" s="16" t="s">
        <v>1069</v>
      </c>
      <c r="K350" s="16" t="s">
        <v>662</v>
      </c>
      <c r="L350" s="16"/>
      <c r="M350" s="16" t="str">
        <f>IF(L350="","",H350*L350)</f>
        <v>0</v>
      </c>
    </row>
    <row r="351" spans="1:13">
      <c r="A351" s="15" t="s">
        <v>1070</v>
      </c>
      <c r="B351" s="16" t="s">
        <v>1071</v>
      </c>
      <c r="C351" s="17" t="s">
        <v>32</v>
      </c>
      <c r="D351" s="16" t="s">
        <v>1057</v>
      </c>
      <c r="E351" s="16" t="s">
        <v>1072</v>
      </c>
      <c r="F351" s="16" t="s">
        <v>34</v>
      </c>
      <c r="G351" s="18">
        <v>151</v>
      </c>
      <c r="H351" s="19" t="str">
        <f>ROUND((151/100*(100-M16)),0)</f>
        <v>0</v>
      </c>
      <c r="I351" s="14">
        <v>199</v>
      </c>
      <c r="J351" s="16" t="s">
        <v>1073</v>
      </c>
      <c r="K351" s="16" t="s">
        <v>662</v>
      </c>
      <c r="L351" s="16"/>
      <c r="M351" s="16" t="str">
        <f>IF(L351="","",H351*L351)</f>
        <v>0</v>
      </c>
    </row>
    <row r="352" spans="1:13">
      <c r="A352" s="15" t="s">
        <v>1074</v>
      </c>
      <c r="B352" s="16" t="s">
        <v>1075</v>
      </c>
      <c r="C352" s="17" t="s">
        <v>32</v>
      </c>
      <c r="D352" s="16" t="s">
        <v>1057</v>
      </c>
      <c r="E352" s="16" t="s">
        <v>1076</v>
      </c>
      <c r="F352" s="16" t="s">
        <v>34</v>
      </c>
      <c r="G352" s="18">
        <v>2336</v>
      </c>
      <c r="H352" s="19" t="str">
        <f>ROUND((2336/100*(100-M16)),0)</f>
        <v>0</v>
      </c>
      <c r="I352" s="14">
        <v>3</v>
      </c>
      <c r="J352" s="16" t="s">
        <v>1077</v>
      </c>
      <c r="K352" s="16" t="s">
        <v>771</v>
      </c>
      <c r="L352" s="16"/>
      <c r="M352" s="16" t="str">
        <f>IF(L352="","",H352*L352)</f>
        <v>0</v>
      </c>
    </row>
    <row r="353" spans="1:13">
      <c r="A353" s="15" t="s">
        <v>1078</v>
      </c>
      <c r="B353" s="16" t="s">
        <v>1079</v>
      </c>
      <c r="C353" s="17"/>
      <c r="D353" s="16" t="s">
        <v>1057</v>
      </c>
      <c r="E353" s="16" t="s">
        <v>1080</v>
      </c>
      <c r="F353" s="16" t="s">
        <v>34</v>
      </c>
      <c r="G353" s="18">
        <v>2617</v>
      </c>
      <c r="H353" s="19" t="str">
        <f>ROUND((2617/100*(100-M16)),0)</f>
        <v>0</v>
      </c>
      <c r="I353" s="14">
        <v>4</v>
      </c>
      <c r="J353" s="16" t="s">
        <v>1077</v>
      </c>
      <c r="K353" s="16" t="s">
        <v>771</v>
      </c>
      <c r="L353" s="16"/>
      <c r="M353" s="16" t="str">
        <f>IF(L353="","",H353*L353)</f>
        <v>0</v>
      </c>
    </row>
    <row r="354" spans="1:13">
      <c r="A354" s="15" t="s">
        <v>1081</v>
      </c>
      <c r="B354" s="16" t="s">
        <v>1082</v>
      </c>
      <c r="C354" s="17" t="s">
        <v>32</v>
      </c>
      <c r="D354" s="16" t="s">
        <v>1057</v>
      </c>
      <c r="E354" s="16" t="s">
        <v>1083</v>
      </c>
      <c r="F354" s="16" t="s">
        <v>212</v>
      </c>
      <c r="G354" s="18">
        <v>1764</v>
      </c>
      <c r="H354" s="19" t="str">
        <f>ROUND((1764/100*(100-M16)),0)</f>
        <v>0</v>
      </c>
      <c r="I354" s="14">
        <v>14</v>
      </c>
      <c r="J354" s="16" t="s">
        <v>1077</v>
      </c>
      <c r="K354" s="16" t="s">
        <v>771</v>
      </c>
      <c r="L354" s="16"/>
      <c r="M354" s="16" t="str">
        <f>IF(L354="","",H354*L354)</f>
        <v>0</v>
      </c>
    </row>
    <row r="355" spans="1:13">
      <c r="A355" s="15" t="s">
        <v>1084</v>
      </c>
      <c r="B355" s="16" t="s">
        <v>1085</v>
      </c>
      <c r="C355" s="17" t="s">
        <v>32</v>
      </c>
      <c r="D355" s="16" t="s">
        <v>1057</v>
      </c>
      <c r="E355" s="16" t="s">
        <v>1086</v>
      </c>
      <c r="F355" s="16" t="s">
        <v>212</v>
      </c>
      <c r="G355" s="18">
        <v>2117</v>
      </c>
      <c r="H355" s="19" t="str">
        <f>ROUND((2117/100*(100-M16)),0)</f>
        <v>0</v>
      </c>
      <c r="I355" s="14">
        <v>20</v>
      </c>
      <c r="J355" s="16" t="s">
        <v>1077</v>
      </c>
      <c r="K355" s="16" t="s">
        <v>771</v>
      </c>
      <c r="L355" s="16"/>
      <c r="M355" s="16" t="str">
        <f>IF(L355="","",H355*L355)</f>
        <v>0</v>
      </c>
    </row>
    <row r="356" spans="1:13">
      <c r="A356" s="15" t="s">
        <v>1087</v>
      </c>
      <c r="B356" s="16" t="s">
        <v>1088</v>
      </c>
      <c r="C356" s="17" t="s">
        <v>32</v>
      </c>
      <c r="D356" s="16" t="s">
        <v>1057</v>
      </c>
      <c r="E356" s="16" t="s">
        <v>1089</v>
      </c>
      <c r="F356" s="16" t="s">
        <v>212</v>
      </c>
      <c r="G356" s="18">
        <v>510</v>
      </c>
      <c r="H356" s="19" t="str">
        <f>ROUND((510/100*(100-M16)),0)</f>
        <v>0</v>
      </c>
      <c r="I356" s="14">
        <v>15</v>
      </c>
      <c r="J356" s="16" t="s">
        <v>1090</v>
      </c>
      <c r="K356" s="16" t="s">
        <v>36</v>
      </c>
      <c r="L356" s="16"/>
      <c r="M356" s="16" t="str">
        <f>IF(L356="","",H356*L356)</f>
        <v>0</v>
      </c>
    </row>
    <row r="357" spans="1:13">
      <c r="A357" s="15" t="s">
        <v>1091</v>
      </c>
      <c r="B357" s="16" t="s">
        <v>1092</v>
      </c>
      <c r="C357" s="17" t="s">
        <v>32</v>
      </c>
      <c r="D357" s="16" t="s">
        <v>1057</v>
      </c>
      <c r="E357" s="16" t="s">
        <v>1093</v>
      </c>
      <c r="F357" s="16" t="s">
        <v>212</v>
      </c>
      <c r="G357" s="18">
        <v>1990</v>
      </c>
      <c r="H357" s="19" t="str">
        <f>ROUND((1990/100*(100-M16)),0)</f>
        <v>0</v>
      </c>
      <c r="I357" s="14">
        <v>2</v>
      </c>
      <c r="J357" s="16" t="s">
        <v>58</v>
      </c>
      <c r="K357" s="16" t="s">
        <v>36</v>
      </c>
      <c r="L357" s="16"/>
      <c r="M357" s="16" t="str">
        <f>IF(L357="","",H357*L357)</f>
        <v>0</v>
      </c>
    </row>
    <row r="358" spans="1:13">
      <c r="A358" s="15" t="s">
        <v>1094</v>
      </c>
      <c r="B358" s="16" t="s">
        <v>1095</v>
      </c>
      <c r="C358" s="17" t="s">
        <v>32</v>
      </c>
      <c r="D358" s="16" t="s">
        <v>1057</v>
      </c>
      <c r="E358" s="16" t="s">
        <v>1096</v>
      </c>
      <c r="F358" s="16" t="s">
        <v>212</v>
      </c>
      <c r="G358" s="18">
        <v>284</v>
      </c>
      <c r="H358" s="19" t="str">
        <f>ROUND((284/100*(100-M16)),0)</f>
        <v>0</v>
      </c>
      <c r="I358" s="14">
        <v>247</v>
      </c>
      <c r="J358" s="16" t="s">
        <v>1097</v>
      </c>
      <c r="K358" s="16" t="s">
        <v>662</v>
      </c>
      <c r="L358" s="16"/>
      <c r="M358" s="16" t="str">
        <f>IF(L358="","",H358*L358)</f>
        <v>0</v>
      </c>
    </row>
    <row r="359" spans="1:13">
      <c r="A359" s="15" t="s">
        <v>1098</v>
      </c>
      <c r="B359" s="16" t="s">
        <v>1099</v>
      </c>
      <c r="C359" s="17" t="s">
        <v>32</v>
      </c>
      <c r="D359" s="16" t="s">
        <v>1057</v>
      </c>
      <c r="E359" s="16" t="s">
        <v>1100</v>
      </c>
      <c r="F359" s="16" t="s">
        <v>212</v>
      </c>
      <c r="G359" s="18">
        <v>539</v>
      </c>
      <c r="H359" s="19" t="str">
        <f>ROUND((539/100*(100-M16)),0)</f>
        <v>0</v>
      </c>
      <c r="I359" s="14">
        <v>60</v>
      </c>
      <c r="J359" s="16" t="s">
        <v>841</v>
      </c>
      <c r="K359" s="16" t="s">
        <v>662</v>
      </c>
      <c r="L359" s="16"/>
      <c r="M359" s="16" t="str">
        <f>IF(L359="","",H359*L359)</f>
        <v>0</v>
      </c>
    </row>
    <row r="360" spans="1:13">
      <c r="A360" s="15" t="s">
        <v>1101</v>
      </c>
      <c r="B360" s="16" t="s">
        <v>1102</v>
      </c>
      <c r="C360" s="17" t="s">
        <v>32</v>
      </c>
      <c r="D360" s="16" t="s">
        <v>1057</v>
      </c>
      <c r="E360" s="16" t="s">
        <v>1103</v>
      </c>
      <c r="F360" s="16" t="s">
        <v>212</v>
      </c>
      <c r="G360" s="18">
        <v>852</v>
      </c>
      <c r="H360" s="19" t="str">
        <f>ROUND((852/100*(100-M16)),0)</f>
        <v>0</v>
      </c>
      <c r="I360" s="14">
        <v>25</v>
      </c>
      <c r="J360" s="16" t="s">
        <v>1065</v>
      </c>
      <c r="K360" s="16" t="s">
        <v>662</v>
      </c>
      <c r="L360" s="16"/>
      <c r="M360" s="16" t="str">
        <f>IF(L360="","",H360*L360)</f>
        <v>0</v>
      </c>
    </row>
    <row r="361" spans="1:13">
      <c r="A361" s="15" t="s">
        <v>1104</v>
      </c>
      <c r="B361" s="16" t="s">
        <v>1105</v>
      </c>
      <c r="C361" s="17" t="s">
        <v>32</v>
      </c>
      <c r="D361" s="16" t="s">
        <v>1057</v>
      </c>
      <c r="E361" s="16" t="s">
        <v>1106</v>
      </c>
      <c r="F361" s="16" t="s">
        <v>212</v>
      </c>
      <c r="G361" s="18">
        <v>598</v>
      </c>
      <c r="H361" s="19" t="str">
        <f>ROUND((598/100*(100-M16)),0)</f>
        <v>0</v>
      </c>
      <c r="I361" s="14">
        <v>48</v>
      </c>
      <c r="J361" s="16" t="s">
        <v>1107</v>
      </c>
      <c r="K361" s="16" t="s">
        <v>662</v>
      </c>
      <c r="L361" s="16"/>
      <c r="M361" s="16" t="str">
        <f>IF(L361="","",H361*L361)</f>
        <v>0</v>
      </c>
    </row>
    <row r="362" spans="1:13">
      <c r="A362" s="15" t="s">
        <v>1108</v>
      </c>
      <c r="B362" s="20" t="s">
        <v>1109</v>
      </c>
      <c r="C362" s="17" t="s">
        <v>32</v>
      </c>
      <c r="D362" s="20" t="s">
        <v>1110</v>
      </c>
      <c r="E362" s="20" t="s">
        <v>1111</v>
      </c>
      <c r="F362" s="20" t="s">
        <v>695</v>
      </c>
      <c r="G362" s="18">
        <v>402</v>
      </c>
      <c r="H362" s="19" t="str">
        <f>ROUND((402/100*(100-M16)),0)</f>
        <v>0</v>
      </c>
      <c r="I362" s="14">
        <v>57</v>
      </c>
      <c r="J362" s="16" t="s">
        <v>1112</v>
      </c>
      <c r="K362" s="16" t="s">
        <v>662</v>
      </c>
      <c r="L362" s="16"/>
      <c r="M362" s="16" t="str">
        <f>IF(L362="","",H362*L362)</f>
        <v>0</v>
      </c>
    </row>
    <row r="363" spans="1:13">
      <c r="A363" s="15"/>
      <c r="B363" s="16"/>
      <c r="C363" s="17"/>
      <c r="D363" s="16"/>
      <c r="E363" s="16"/>
      <c r="F363" s="16"/>
      <c r="G363" s="18"/>
      <c r="H363" s="19"/>
      <c r="J363" s="16"/>
      <c r="K363" s="16"/>
      <c r="L363" s="16"/>
      <c r="M363" s="16"/>
    </row>
    <row r="364" spans="1:13">
      <c r="A364" s="1" t="s">
        <v>0</v>
      </c>
      <c r="B364" s="1" t="s">
        <v>1</v>
      </c>
      <c r="C364" s="1" t="s">
        <v>2</v>
      </c>
      <c r="D364" s="1" t="s">
        <v>3</v>
      </c>
      <c r="E364" s="1" t="s">
        <v>4</v>
      </c>
      <c r="F364" s="1" t="s">
        <v>5</v>
      </c>
      <c r="G364" s="1" t="s">
        <v>6</v>
      </c>
      <c r="H364" s="1" t="s">
        <v>7</v>
      </c>
      <c r="I364" s="2" t="s">
        <v>8</v>
      </c>
      <c r="J364" s="1" t="s">
        <v>9</v>
      </c>
      <c r="K364" s="1" t="s">
        <v>10</v>
      </c>
      <c r="L364" s="3" t="s">
        <v>11</v>
      </c>
      <c r="M364" s="1" t="s">
        <v>12</v>
      </c>
    </row>
    <row r="365" spans="1:13">
      <c r="A365" s="13" t="s">
        <v>1113</v>
      </c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>
      <c r="A366" s="15" t="s">
        <v>1114</v>
      </c>
      <c r="B366" s="16" t="s">
        <v>1115</v>
      </c>
      <c r="C366" s="17" t="s">
        <v>32</v>
      </c>
      <c r="D366" s="16" t="s">
        <v>1113</v>
      </c>
      <c r="E366" s="16" t="s">
        <v>1116</v>
      </c>
      <c r="F366" s="16" t="s">
        <v>34</v>
      </c>
      <c r="G366" s="18">
        <v>1092</v>
      </c>
      <c r="H366" s="19" t="str">
        <f>ROUND((1092/100*(100-M16)),0)</f>
        <v>0</v>
      </c>
      <c r="I366" s="14">
        <v>41</v>
      </c>
      <c r="J366" s="16" t="s">
        <v>1117</v>
      </c>
      <c r="K366" s="16" t="s">
        <v>662</v>
      </c>
      <c r="L366" s="16"/>
      <c r="M366" s="16" t="str">
        <f>IF(L366="","",H366*L366)</f>
        <v>0</v>
      </c>
    </row>
    <row r="367" spans="1:13">
      <c r="A367" s="15" t="s">
        <v>1118</v>
      </c>
      <c r="B367" s="16" t="s">
        <v>1119</v>
      </c>
      <c r="C367" s="17" t="s">
        <v>32</v>
      </c>
      <c r="D367" s="16" t="s">
        <v>1113</v>
      </c>
      <c r="E367" s="16" t="s">
        <v>1120</v>
      </c>
      <c r="F367" s="16" t="s">
        <v>34</v>
      </c>
      <c r="G367" s="18">
        <v>824</v>
      </c>
      <c r="H367" s="19" t="str">
        <f>ROUND((824/100*(100-M16)),0)</f>
        <v>0</v>
      </c>
      <c r="I367" s="14">
        <v>94</v>
      </c>
      <c r="J367" s="16" t="s">
        <v>1121</v>
      </c>
      <c r="K367" s="16" t="s">
        <v>662</v>
      </c>
      <c r="L367" s="16"/>
      <c r="M367" s="16" t="str">
        <f>IF(L367="","",H367*L367)</f>
        <v>0</v>
      </c>
    </row>
    <row r="368" spans="1:13">
      <c r="A368" s="15" t="s">
        <v>1122</v>
      </c>
      <c r="B368" s="16" t="s">
        <v>1123</v>
      </c>
      <c r="C368" s="17" t="s">
        <v>32</v>
      </c>
      <c r="D368" s="16" t="s">
        <v>1113</v>
      </c>
      <c r="E368" s="16" t="s">
        <v>1124</v>
      </c>
      <c r="F368" s="16" t="s">
        <v>34</v>
      </c>
      <c r="G368" s="18">
        <v>628</v>
      </c>
      <c r="H368" s="19" t="str">
        <f>ROUND((628/100*(100-M16)),0)</f>
        <v>0</v>
      </c>
      <c r="I368" s="14">
        <v>3</v>
      </c>
      <c r="J368" s="16" t="s">
        <v>1121</v>
      </c>
      <c r="K368" s="16" t="s">
        <v>662</v>
      </c>
      <c r="L368" s="16"/>
      <c r="M368" s="16" t="str">
        <f>IF(L368="","",H368*L368)</f>
        <v>0</v>
      </c>
    </row>
    <row r="369" spans="1:13">
      <c r="A369" s="15" t="s">
        <v>1125</v>
      </c>
      <c r="B369" s="16" t="s">
        <v>1126</v>
      </c>
      <c r="C369" s="17" t="s">
        <v>32</v>
      </c>
      <c r="D369" s="16" t="s">
        <v>1113</v>
      </c>
      <c r="E369" s="16" t="s">
        <v>1127</v>
      </c>
      <c r="F369" s="16" t="s">
        <v>34</v>
      </c>
      <c r="G369" s="18">
        <v>1460</v>
      </c>
      <c r="H369" s="19" t="str">
        <f>ROUND((1460/100*(100-M16)),0)</f>
        <v>0</v>
      </c>
      <c r="I369" s="14">
        <v>19</v>
      </c>
      <c r="J369" s="16" t="s">
        <v>1128</v>
      </c>
      <c r="K369" s="16" t="s">
        <v>662</v>
      </c>
      <c r="L369" s="16"/>
      <c r="M369" s="16" t="str">
        <f>IF(L369="","",H369*L369)</f>
        <v>0</v>
      </c>
    </row>
    <row r="370" spans="1:13">
      <c r="A370" s="15" t="s">
        <v>1129</v>
      </c>
      <c r="B370" s="16" t="s">
        <v>1130</v>
      </c>
      <c r="C370" s="17" t="s">
        <v>32</v>
      </c>
      <c r="D370" s="16" t="s">
        <v>1113</v>
      </c>
      <c r="E370" s="16" t="s">
        <v>1131</v>
      </c>
      <c r="F370" s="16" t="s">
        <v>34</v>
      </c>
      <c r="G370" s="18">
        <v>1492</v>
      </c>
      <c r="H370" s="19" t="str">
        <f>ROUND((1492/100*(100-M16)),0)</f>
        <v>0</v>
      </c>
      <c r="I370" s="14">
        <v>16</v>
      </c>
      <c r="J370" s="16" t="s">
        <v>1128</v>
      </c>
      <c r="K370" s="16" t="s">
        <v>662</v>
      </c>
      <c r="L370" s="16"/>
      <c r="M370" s="16" t="str">
        <f>IF(L370="","",H370*L370)</f>
        <v>0</v>
      </c>
    </row>
    <row r="371" spans="1:13">
      <c r="A371" s="15" t="s">
        <v>1132</v>
      </c>
      <c r="B371" s="16" t="s">
        <v>1133</v>
      </c>
      <c r="C371" s="17" t="s">
        <v>32</v>
      </c>
      <c r="D371" s="16" t="s">
        <v>1113</v>
      </c>
      <c r="E371" s="16" t="s">
        <v>1134</v>
      </c>
      <c r="F371" s="16" t="s">
        <v>34</v>
      </c>
      <c r="G371" s="18">
        <v>1532</v>
      </c>
      <c r="H371" s="19" t="str">
        <f>ROUND((1532/100*(100-M16)),0)</f>
        <v>0</v>
      </c>
      <c r="I371" s="14">
        <v>9</v>
      </c>
      <c r="J371" s="16" t="s">
        <v>1128</v>
      </c>
      <c r="K371" s="16" t="s">
        <v>662</v>
      </c>
      <c r="L371" s="16"/>
      <c r="M371" s="16" t="str">
        <f>IF(L371="","",H371*L371)</f>
        <v>0</v>
      </c>
    </row>
    <row r="372" spans="1:13">
      <c r="A372" s="15" t="s">
        <v>1135</v>
      </c>
      <c r="B372" s="20" t="s">
        <v>1136</v>
      </c>
      <c r="C372" s="17" t="s">
        <v>32</v>
      </c>
      <c r="D372" s="20" t="s">
        <v>1137</v>
      </c>
      <c r="E372" s="20" t="s">
        <v>1138</v>
      </c>
      <c r="F372" s="20" t="s">
        <v>34</v>
      </c>
      <c r="G372" s="18">
        <v>1038</v>
      </c>
      <c r="H372" s="19" t="str">
        <f>ROUND((1038/100*(100-M16)),0)</f>
        <v>0</v>
      </c>
      <c r="I372" s="14">
        <v>2</v>
      </c>
      <c r="J372" s="16" t="s">
        <v>1139</v>
      </c>
      <c r="K372" s="16" t="s">
        <v>662</v>
      </c>
      <c r="L372" s="16"/>
      <c r="M372" s="16" t="str">
        <f>IF(L372="","",H372*L372)</f>
        <v>0</v>
      </c>
    </row>
    <row r="373" spans="1:13">
      <c r="A373" s="15" t="s">
        <v>1140</v>
      </c>
      <c r="B373" s="16" t="s">
        <v>1141</v>
      </c>
      <c r="C373" s="17" t="s">
        <v>32</v>
      </c>
      <c r="D373" s="16" t="s">
        <v>1113</v>
      </c>
      <c r="E373" s="16" t="s">
        <v>1142</v>
      </c>
      <c r="F373" s="16" t="s">
        <v>34</v>
      </c>
      <c r="G373" s="18">
        <v>1280</v>
      </c>
      <c r="H373" s="19" t="str">
        <f>ROUND((1280/100*(100-M16)),0)</f>
        <v>0</v>
      </c>
      <c r="I373" s="14">
        <v>13</v>
      </c>
      <c r="J373" s="16" t="s">
        <v>1139</v>
      </c>
      <c r="K373" s="16" t="s">
        <v>662</v>
      </c>
      <c r="L373" s="16"/>
      <c r="M373" s="16" t="str">
        <f>IF(L373="","",H373*L373)</f>
        <v>0</v>
      </c>
    </row>
    <row r="374" spans="1:13">
      <c r="A374" s="15" t="s">
        <v>1143</v>
      </c>
      <c r="B374" s="16" t="s">
        <v>1144</v>
      </c>
      <c r="C374" s="17"/>
      <c r="D374" s="16" t="s">
        <v>1113</v>
      </c>
      <c r="E374" s="16" t="s">
        <v>1145</v>
      </c>
      <c r="F374" s="16" t="s">
        <v>34</v>
      </c>
      <c r="G374" s="18">
        <v>1096</v>
      </c>
      <c r="H374" s="19" t="str">
        <f>ROUND((1096/100*(100-M16)),0)</f>
        <v>0</v>
      </c>
      <c r="I374" s="14">
        <v>16</v>
      </c>
      <c r="J374" s="16" t="s">
        <v>1139</v>
      </c>
      <c r="K374" s="16" t="s">
        <v>662</v>
      </c>
      <c r="L374" s="16"/>
      <c r="M374" s="16" t="str">
        <f>IF(L374="","",H374*L374)</f>
        <v>0</v>
      </c>
    </row>
    <row r="375" spans="1:13">
      <c r="A375" s="15" t="s">
        <v>1146</v>
      </c>
      <c r="B375" s="16" t="s">
        <v>1147</v>
      </c>
      <c r="C375" s="17" t="s">
        <v>32</v>
      </c>
      <c r="D375" s="16" t="s">
        <v>1113</v>
      </c>
      <c r="E375" s="16" t="s">
        <v>1148</v>
      </c>
      <c r="F375" s="16" t="s">
        <v>34</v>
      </c>
      <c r="G375" s="18">
        <v>1228</v>
      </c>
      <c r="H375" s="19" t="str">
        <f>ROUND((1228/100*(100-M16)),0)</f>
        <v>0</v>
      </c>
      <c r="I375" s="14">
        <v>8</v>
      </c>
      <c r="J375" s="16" t="s">
        <v>1139</v>
      </c>
      <c r="K375" s="16" t="s">
        <v>662</v>
      </c>
      <c r="L375" s="16"/>
      <c r="M375" s="16" t="str">
        <f>IF(L375="","",H375*L375)</f>
        <v>0</v>
      </c>
    </row>
    <row r="376" spans="1:13">
      <c r="A376" s="15" t="s">
        <v>1149</v>
      </c>
      <c r="B376" s="16" t="s">
        <v>1150</v>
      </c>
      <c r="C376" s="17" t="s">
        <v>32</v>
      </c>
      <c r="D376" s="16" t="s">
        <v>1113</v>
      </c>
      <c r="E376" s="16" t="s">
        <v>1151</v>
      </c>
      <c r="F376" s="16" t="s">
        <v>34</v>
      </c>
      <c r="G376" s="18">
        <v>1110</v>
      </c>
      <c r="H376" s="19" t="str">
        <f>ROUND((1110/100*(100-M16)),0)</f>
        <v>0</v>
      </c>
      <c r="I376" s="14">
        <v>17</v>
      </c>
      <c r="J376" s="16" t="s">
        <v>1139</v>
      </c>
      <c r="K376" s="16" t="s">
        <v>662</v>
      </c>
      <c r="L376" s="16"/>
      <c r="M376" s="16" t="str">
        <f>IF(L376="","",H376*L376)</f>
        <v>0</v>
      </c>
    </row>
    <row r="377" spans="1:13">
      <c r="A377" s="15" t="s">
        <v>1152</v>
      </c>
      <c r="B377" s="16" t="s">
        <v>1153</v>
      </c>
      <c r="C377" s="17" t="s">
        <v>32</v>
      </c>
      <c r="D377" s="16" t="s">
        <v>1113</v>
      </c>
      <c r="E377" s="16" t="s">
        <v>1154</v>
      </c>
      <c r="F377" s="16" t="s">
        <v>34</v>
      </c>
      <c r="G377" s="18">
        <v>1700</v>
      </c>
      <c r="H377" s="19" t="str">
        <f>ROUND((1700/100*(100-M16)),0)</f>
        <v>0</v>
      </c>
      <c r="I377" s="14">
        <v>9</v>
      </c>
      <c r="J377" s="16" t="s">
        <v>1139</v>
      </c>
      <c r="K377" s="16" t="s">
        <v>662</v>
      </c>
      <c r="L377" s="16"/>
      <c r="M377" s="16" t="str">
        <f>IF(L377="","",H377*L377)</f>
        <v>0</v>
      </c>
    </row>
    <row r="378" spans="1:13">
      <c r="A378" s="15" t="s">
        <v>1155</v>
      </c>
      <c r="B378" s="16" t="s">
        <v>1156</v>
      </c>
      <c r="C378" s="17" t="s">
        <v>32</v>
      </c>
      <c r="D378" s="16" t="s">
        <v>1113</v>
      </c>
      <c r="E378" s="16" t="s">
        <v>1157</v>
      </c>
      <c r="F378" s="16" t="s">
        <v>34</v>
      </c>
      <c r="G378" s="18">
        <v>1798</v>
      </c>
      <c r="H378" s="19" t="str">
        <f>ROUND((1798/100*(100-M16)),0)</f>
        <v>0</v>
      </c>
      <c r="I378" s="14">
        <v>10</v>
      </c>
      <c r="J378" s="16" t="s">
        <v>1139</v>
      </c>
      <c r="K378" s="16" t="s">
        <v>662</v>
      </c>
      <c r="L378" s="16"/>
      <c r="M378" s="16" t="str">
        <f>IF(L378="","",H378*L378)</f>
        <v>0</v>
      </c>
    </row>
    <row r="379" spans="1:13">
      <c r="A379" s="15" t="s">
        <v>1158</v>
      </c>
      <c r="B379" s="16" t="s">
        <v>1159</v>
      </c>
      <c r="C379" s="17" t="s">
        <v>32</v>
      </c>
      <c r="D379" s="16" t="s">
        <v>1113</v>
      </c>
      <c r="E379" s="16" t="s">
        <v>1160</v>
      </c>
      <c r="F379" s="16" t="s">
        <v>34</v>
      </c>
      <c r="G379" s="18">
        <v>2580</v>
      </c>
      <c r="H379" s="19" t="str">
        <f>ROUND((2580/100*(100-M16)),0)</f>
        <v>0</v>
      </c>
      <c r="I379" s="14">
        <v>5</v>
      </c>
      <c r="J379" s="16" t="s">
        <v>1161</v>
      </c>
      <c r="K379" s="16" t="s">
        <v>662</v>
      </c>
      <c r="L379" s="16"/>
      <c r="M379" s="16" t="str">
        <f>IF(L379="","",H379*L379)</f>
        <v>0</v>
      </c>
    </row>
    <row r="380" spans="1:13">
      <c r="A380" s="15" t="s">
        <v>1162</v>
      </c>
      <c r="B380" s="16" t="s">
        <v>1163</v>
      </c>
      <c r="C380" s="17" t="s">
        <v>32</v>
      </c>
      <c r="D380" s="16" t="s">
        <v>1113</v>
      </c>
      <c r="E380" s="16" t="s">
        <v>1164</v>
      </c>
      <c r="F380" s="16" t="s">
        <v>34</v>
      </c>
      <c r="G380" s="18">
        <v>1675</v>
      </c>
      <c r="H380" s="19" t="str">
        <f>ROUND((1675/100*(100-M16)),0)</f>
        <v>0</v>
      </c>
      <c r="I380" s="14">
        <v>23</v>
      </c>
      <c r="J380" s="16" t="s">
        <v>657</v>
      </c>
      <c r="K380" s="16" t="s">
        <v>36</v>
      </c>
      <c r="L380" s="16"/>
      <c r="M380" s="16" t="str">
        <f>IF(L380="","",H380*L380)</f>
        <v>0</v>
      </c>
    </row>
    <row r="381" spans="1:13">
      <c r="A381" s="15" t="s">
        <v>1165</v>
      </c>
      <c r="B381" s="16" t="s">
        <v>1166</v>
      </c>
      <c r="C381" s="17" t="s">
        <v>32</v>
      </c>
      <c r="D381" s="16" t="s">
        <v>1113</v>
      </c>
      <c r="E381" s="16" t="s">
        <v>1167</v>
      </c>
      <c r="F381" s="16" t="s">
        <v>34</v>
      </c>
      <c r="G381" s="18">
        <v>1960</v>
      </c>
      <c r="H381" s="19" t="str">
        <f>ROUND((1960/100*(100-M16)),0)</f>
        <v>0</v>
      </c>
      <c r="I381" s="14">
        <v>5</v>
      </c>
      <c r="J381" s="16" t="s">
        <v>51</v>
      </c>
      <c r="K381" s="16" t="s">
        <v>36</v>
      </c>
      <c r="L381" s="16"/>
      <c r="M381" s="16" t="str">
        <f>IF(L381="","",H381*L381)</f>
        <v>0</v>
      </c>
    </row>
    <row r="382" spans="1:13">
      <c r="A382" s="15" t="s">
        <v>1168</v>
      </c>
      <c r="B382" s="16" t="s">
        <v>1169</v>
      </c>
      <c r="C382" s="17" t="s">
        <v>32</v>
      </c>
      <c r="D382" s="16" t="s">
        <v>1113</v>
      </c>
      <c r="E382" s="16" t="s">
        <v>1170</v>
      </c>
      <c r="F382" s="16" t="s">
        <v>34</v>
      </c>
      <c r="G382" s="18">
        <v>3795</v>
      </c>
      <c r="H382" s="19" t="str">
        <f>ROUND((3795/100*(100-M16)),0)</f>
        <v>0</v>
      </c>
      <c r="I382" s="14">
        <v>1</v>
      </c>
      <c r="J382" s="16" t="s">
        <v>47</v>
      </c>
      <c r="K382" s="16" t="s">
        <v>36</v>
      </c>
      <c r="L382" s="16"/>
      <c r="M382" s="16" t="str">
        <f>IF(L382="","",H382*L382)</f>
        <v>0</v>
      </c>
    </row>
    <row r="383" spans="1:13">
      <c r="A383" s="15" t="s">
        <v>1171</v>
      </c>
      <c r="B383" s="16" t="s">
        <v>1172</v>
      </c>
      <c r="C383" s="17" t="s">
        <v>32</v>
      </c>
      <c r="D383" s="16" t="s">
        <v>1113</v>
      </c>
      <c r="E383" s="16" t="s">
        <v>1173</v>
      </c>
      <c r="F383" s="16" t="s">
        <v>34</v>
      </c>
      <c r="G383" s="18">
        <v>1960</v>
      </c>
      <c r="H383" s="19" t="str">
        <f>ROUND((1960/100*(100-M16)),0)</f>
        <v>0</v>
      </c>
      <c r="I383" s="14">
        <v>8</v>
      </c>
      <c r="J383" s="16" t="s">
        <v>1174</v>
      </c>
      <c r="K383" s="16" t="s">
        <v>36</v>
      </c>
      <c r="L383" s="16"/>
      <c r="M383" s="16" t="str">
        <f>IF(L383="","",H383*L383)</f>
        <v>0</v>
      </c>
    </row>
    <row r="384" spans="1:13">
      <c r="A384" s="15" t="s">
        <v>1175</v>
      </c>
      <c r="B384" s="16" t="s">
        <v>1176</v>
      </c>
      <c r="C384" s="17" t="s">
        <v>32</v>
      </c>
      <c r="D384" s="16" t="s">
        <v>1113</v>
      </c>
      <c r="E384" s="16" t="s">
        <v>1177</v>
      </c>
      <c r="F384" s="16" t="s">
        <v>34</v>
      </c>
      <c r="G384" s="18">
        <v>2240</v>
      </c>
      <c r="H384" s="19" t="str">
        <f>ROUND((2240/100*(100-M16)),0)</f>
        <v>0</v>
      </c>
      <c r="I384" s="14">
        <v>3</v>
      </c>
      <c r="J384" s="16" t="s">
        <v>1174</v>
      </c>
      <c r="K384" s="16" t="s">
        <v>36</v>
      </c>
      <c r="L384" s="16"/>
      <c r="M384" s="16" t="str">
        <f>IF(L384="","",H384*L384)</f>
        <v>0</v>
      </c>
    </row>
    <row r="385" spans="1:13">
      <c r="A385" s="15" t="s">
        <v>1178</v>
      </c>
      <c r="B385" s="16" t="s">
        <v>1179</v>
      </c>
      <c r="C385" s="17" t="s">
        <v>32</v>
      </c>
      <c r="D385" s="16" t="s">
        <v>1113</v>
      </c>
      <c r="E385" s="16" t="s">
        <v>1180</v>
      </c>
      <c r="F385" s="16" t="s">
        <v>212</v>
      </c>
      <c r="G385" s="18">
        <v>752</v>
      </c>
      <c r="H385" s="19" t="str">
        <f>ROUND((752/100*(100-M16)),0)</f>
        <v>0</v>
      </c>
      <c r="I385" s="14">
        <v>7</v>
      </c>
      <c r="J385" s="16" t="s">
        <v>1181</v>
      </c>
      <c r="K385" s="16" t="s">
        <v>662</v>
      </c>
      <c r="L385" s="16"/>
      <c r="M385" s="16" t="str">
        <f>IF(L385="","",H385*L385)</f>
        <v>0</v>
      </c>
    </row>
    <row r="386" spans="1:13">
      <c r="A386" s="15" t="s">
        <v>1182</v>
      </c>
      <c r="B386" s="16" t="s">
        <v>1183</v>
      </c>
      <c r="C386" s="17" t="s">
        <v>32</v>
      </c>
      <c r="D386" s="16" t="s">
        <v>1113</v>
      </c>
      <c r="E386" s="16" t="s">
        <v>1184</v>
      </c>
      <c r="F386" s="16" t="s">
        <v>212</v>
      </c>
      <c r="G386" s="18">
        <v>792</v>
      </c>
      <c r="H386" s="19" t="str">
        <f>ROUND((792/100*(100-M16)),0)</f>
        <v>0</v>
      </c>
      <c r="I386" s="14">
        <v>12</v>
      </c>
      <c r="J386" s="16" t="s">
        <v>1181</v>
      </c>
      <c r="K386" s="16" t="s">
        <v>662</v>
      </c>
      <c r="L386" s="16"/>
      <c r="M386" s="16" t="str">
        <f>IF(L386="","",H386*L386)</f>
        <v>0</v>
      </c>
    </row>
    <row r="387" spans="1:13">
      <c r="A387" s="15" t="s">
        <v>1185</v>
      </c>
      <c r="B387" s="16" t="s">
        <v>1186</v>
      </c>
      <c r="C387" s="17" t="s">
        <v>32</v>
      </c>
      <c r="D387" s="16" t="s">
        <v>1113</v>
      </c>
      <c r="E387" s="16" t="s">
        <v>1187</v>
      </c>
      <c r="F387" s="16" t="s">
        <v>212</v>
      </c>
      <c r="G387" s="18">
        <v>780</v>
      </c>
      <c r="H387" s="19" t="str">
        <f>ROUND((780/100*(100-M16)),0)</f>
        <v>0</v>
      </c>
      <c r="I387" s="14">
        <v>10</v>
      </c>
      <c r="J387" s="16" t="s">
        <v>1181</v>
      </c>
      <c r="K387" s="16" t="s">
        <v>662</v>
      </c>
      <c r="L387" s="16"/>
      <c r="M387" s="16" t="str">
        <f>IF(L387="","",H387*L387)</f>
        <v>0</v>
      </c>
    </row>
    <row r="388" spans="1:13">
      <c r="A388" s="15" t="s">
        <v>1188</v>
      </c>
      <c r="B388" s="16" t="s">
        <v>1189</v>
      </c>
      <c r="C388" s="17" t="s">
        <v>32</v>
      </c>
      <c r="D388" s="16" t="s">
        <v>1113</v>
      </c>
      <c r="E388" s="16" t="s">
        <v>1190</v>
      </c>
      <c r="F388" s="16" t="s">
        <v>212</v>
      </c>
      <c r="G388" s="18">
        <v>1396</v>
      </c>
      <c r="H388" s="19" t="str">
        <f>ROUND((1396/100*(100-M16)),0)</f>
        <v>0</v>
      </c>
      <c r="I388" s="14">
        <v>13</v>
      </c>
      <c r="J388" s="16" t="s">
        <v>947</v>
      </c>
      <c r="K388" s="16" t="s">
        <v>662</v>
      </c>
      <c r="L388" s="16"/>
      <c r="M388" s="16" t="str">
        <f>IF(L388="","",H388*L388)</f>
        <v>0</v>
      </c>
    </row>
    <row r="389" spans="1:13">
      <c r="A389" s="15" t="s">
        <v>1191</v>
      </c>
      <c r="B389" s="16" t="s">
        <v>1192</v>
      </c>
      <c r="C389" s="17" t="s">
        <v>32</v>
      </c>
      <c r="D389" s="16" t="s">
        <v>1113</v>
      </c>
      <c r="E389" s="16" t="s">
        <v>1193</v>
      </c>
      <c r="F389" s="16" t="s">
        <v>212</v>
      </c>
      <c r="G389" s="18">
        <v>692</v>
      </c>
      <c r="H389" s="19" t="str">
        <f>ROUND((692/100*(100-M16)),0)</f>
        <v>0</v>
      </c>
      <c r="I389" s="14">
        <v>10</v>
      </c>
      <c r="J389" s="16" t="s">
        <v>1194</v>
      </c>
      <c r="K389" s="16" t="s">
        <v>662</v>
      </c>
      <c r="L389" s="16"/>
      <c r="M389" s="16" t="str">
        <f>IF(L389="","",H389*L389)</f>
        <v>0</v>
      </c>
    </row>
    <row r="390" spans="1:13">
      <c r="A390" s="15" t="s">
        <v>1195</v>
      </c>
      <c r="B390" s="16" t="s">
        <v>1196</v>
      </c>
      <c r="C390" s="17" t="s">
        <v>32</v>
      </c>
      <c r="D390" s="16" t="s">
        <v>1113</v>
      </c>
      <c r="E390" s="16" t="s">
        <v>1197</v>
      </c>
      <c r="F390" s="16" t="s">
        <v>212</v>
      </c>
      <c r="G390" s="18">
        <v>692</v>
      </c>
      <c r="H390" s="19" t="str">
        <f>ROUND((692/100*(100-M16)),0)</f>
        <v>0</v>
      </c>
      <c r="I390" s="14">
        <v>4</v>
      </c>
      <c r="J390" s="16" t="s">
        <v>1194</v>
      </c>
      <c r="K390" s="16" t="s">
        <v>662</v>
      </c>
      <c r="L390" s="16"/>
      <c r="M390" s="16" t="str">
        <f>IF(L390="","",H390*L390)</f>
        <v>0</v>
      </c>
    </row>
    <row r="391" spans="1:13">
      <c r="A391" s="15" t="s">
        <v>1198</v>
      </c>
      <c r="B391" s="16" t="s">
        <v>1199</v>
      </c>
      <c r="C391" s="17" t="s">
        <v>32</v>
      </c>
      <c r="D391" s="16" t="s">
        <v>1113</v>
      </c>
      <c r="E391" s="16" t="s">
        <v>1200</v>
      </c>
      <c r="F391" s="16" t="s">
        <v>212</v>
      </c>
      <c r="G391" s="18">
        <v>692</v>
      </c>
      <c r="H391" s="19" t="str">
        <f>ROUND((692/100*(100-M16)),0)</f>
        <v>0</v>
      </c>
      <c r="I391" s="14">
        <v>12</v>
      </c>
      <c r="J391" s="16" t="s">
        <v>1194</v>
      </c>
      <c r="K391" s="16" t="s">
        <v>662</v>
      </c>
      <c r="L391" s="16"/>
      <c r="M391" s="16" t="str">
        <f>IF(L391="","",H391*L391)</f>
        <v>0</v>
      </c>
    </row>
    <row r="392" spans="1:13">
      <c r="A392" s="15" t="s">
        <v>1201</v>
      </c>
      <c r="B392" s="16" t="s">
        <v>1202</v>
      </c>
      <c r="C392" s="17" t="s">
        <v>32</v>
      </c>
      <c r="D392" s="16" t="s">
        <v>1113</v>
      </c>
      <c r="E392" s="16" t="s">
        <v>1203</v>
      </c>
      <c r="F392" s="16" t="s">
        <v>212</v>
      </c>
      <c r="G392" s="18">
        <v>692</v>
      </c>
      <c r="H392" s="19" t="str">
        <f>ROUND((692/100*(100-M16)),0)</f>
        <v>0</v>
      </c>
      <c r="I392" s="14">
        <v>5</v>
      </c>
      <c r="J392" s="16" t="s">
        <v>1194</v>
      </c>
      <c r="K392" s="16" t="s">
        <v>662</v>
      </c>
      <c r="L392" s="16"/>
      <c r="M392" s="16" t="str">
        <f>IF(L392="","",H392*L392)</f>
        <v>0</v>
      </c>
    </row>
    <row r="393" spans="1:13">
      <c r="A393" s="15" t="s">
        <v>1204</v>
      </c>
      <c r="B393" s="16" t="s">
        <v>1205</v>
      </c>
      <c r="C393" s="17" t="s">
        <v>32</v>
      </c>
      <c r="D393" s="16" t="s">
        <v>1113</v>
      </c>
      <c r="E393" s="16" t="s">
        <v>1206</v>
      </c>
      <c r="F393" s="16" t="s">
        <v>212</v>
      </c>
      <c r="G393" s="18">
        <v>1150</v>
      </c>
      <c r="H393" s="19" t="str">
        <f>ROUND((1150/100*(100-M16)),0)</f>
        <v>0</v>
      </c>
      <c r="I393" s="14">
        <v>1</v>
      </c>
      <c r="J393" s="16" t="s">
        <v>1194</v>
      </c>
      <c r="K393" s="16" t="s">
        <v>662</v>
      </c>
      <c r="L393" s="16"/>
      <c r="M393" s="16" t="str">
        <f>IF(L393="","",H393*L393)</f>
        <v>0</v>
      </c>
    </row>
    <row r="394" spans="1:13">
      <c r="A394" s="15" t="s">
        <v>1207</v>
      </c>
      <c r="B394" s="16" t="s">
        <v>1208</v>
      </c>
      <c r="C394" s="17" t="s">
        <v>32</v>
      </c>
      <c r="D394" s="16" t="s">
        <v>1113</v>
      </c>
      <c r="E394" s="16" t="s">
        <v>1209</v>
      </c>
      <c r="F394" s="16" t="s">
        <v>212</v>
      </c>
      <c r="G394" s="18">
        <v>2860</v>
      </c>
      <c r="H394" s="19" t="str">
        <f>ROUND((2860/100*(100-M16)),0)</f>
        <v>0</v>
      </c>
      <c r="I394" s="14">
        <v>10</v>
      </c>
      <c r="J394" s="16" t="s">
        <v>947</v>
      </c>
      <c r="K394" s="16" t="s">
        <v>662</v>
      </c>
      <c r="L394" s="16"/>
      <c r="M394" s="16" t="str">
        <f>IF(L394="","",H394*L394)</f>
        <v>0</v>
      </c>
    </row>
    <row r="395" spans="1:13">
      <c r="A395" s="15" t="s">
        <v>1210</v>
      </c>
      <c r="B395" s="16" t="s">
        <v>1211</v>
      </c>
      <c r="C395" s="17" t="s">
        <v>32</v>
      </c>
      <c r="D395" s="16" t="s">
        <v>1113</v>
      </c>
      <c r="E395" s="16" t="s">
        <v>1212</v>
      </c>
      <c r="F395" s="16" t="s">
        <v>212</v>
      </c>
      <c r="G395" s="18">
        <v>1985</v>
      </c>
      <c r="H395" s="19" t="str">
        <f>ROUND((1985/100*(100-M16)),0)</f>
        <v>0</v>
      </c>
      <c r="I395" s="14">
        <v>16</v>
      </c>
      <c r="J395" s="16" t="s">
        <v>43</v>
      </c>
      <c r="K395" s="16" t="s">
        <v>36</v>
      </c>
      <c r="L395" s="16"/>
      <c r="M395" s="16" t="str">
        <f>IF(L395="","",H395*L395)</f>
        <v>0</v>
      </c>
    </row>
    <row r="396" spans="1:13">
      <c r="A396" s="15" t="s">
        <v>1213</v>
      </c>
      <c r="B396" s="16" t="s">
        <v>1214</v>
      </c>
      <c r="C396" s="17" t="s">
        <v>32</v>
      </c>
      <c r="D396" s="16" t="s">
        <v>1113</v>
      </c>
      <c r="E396" s="16" t="s">
        <v>1215</v>
      </c>
      <c r="F396" s="16" t="s">
        <v>212</v>
      </c>
      <c r="G396" s="18">
        <v>1985</v>
      </c>
      <c r="H396" s="19" t="str">
        <f>ROUND((1985/100*(100-M16)),0)</f>
        <v>0</v>
      </c>
      <c r="I396" s="14">
        <v>17</v>
      </c>
      <c r="J396" s="16" t="s">
        <v>43</v>
      </c>
      <c r="K396" s="16" t="s">
        <v>36</v>
      </c>
      <c r="L396" s="16"/>
      <c r="M396" s="16" t="str">
        <f>IF(L396="","",H396*L396)</f>
        <v>0</v>
      </c>
    </row>
    <row r="397" spans="1:13">
      <c r="A397" s="15" t="s">
        <v>1216</v>
      </c>
      <c r="B397" s="16" t="s">
        <v>1217</v>
      </c>
      <c r="C397" s="17" t="s">
        <v>32</v>
      </c>
      <c r="D397" s="16" t="s">
        <v>1113</v>
      </c>
      <c r="E397" s="16" t="s">
        <v>1218</v>
      </c>
      <c r="F397" s="16" t="s">
        <v>212</v>
      </c>
      <c r="G397" s="18">
        <v>1985</v>
      </c>
      <c r="H397" s="19" t="str">
        <f>ROUND((1985/100*(100-M16)),0)</f>
        <v>0</v>
      </c>
      <c r="I397" s="14">
        <v>11</v>
      </c>
      <c r="J397" s="16" t="s">
        <v>1174</v>
      </c>
      <c r="K397" s="16" t="s">
        <v>36</v>
      </c>
      <c r="L397" s="16"/>
      <c r="M397" s="16" t="str">
        <f>IF(L397="","",H397*L397)</f>
        <v>0</v>
      </c>
    </row>
    <row r="398" spans="1:13">
      <c r="A398" s="15" t="s">
        <v>1219</v>
      </c>
      <c r="B398" s="16" t="s">
        <v>1220</v>
      </c>
      <c r="C398" s="17" t="s">
        <v>32</v>
      </c>
      <c r="D398" s="16" t="s">
        <v>1113</v>
      </c>
      <c r="E398" s="16" t="s">
        <v>1221</v>
      </c>
      <c r="F398" s="16" t="s">
        <v>212</v>
      </c>
      <c r="G398" s="18">
        <v>2785</v>
      </c>
      <c r="H398" s="19" t="str">
        <f>ROUND((2785/100*(100-M16)),0)</f>
        <v>0</v>
      </c>
      <c r="I398" s="14">
        <v>14</v>
      </c>
      <c r="J398" s="16" t="s">
        <v>51</v>
      </c>
      <c r="K398" s="16" t="s">
        <v>36</v>
      </c>
      <c r="L398" s="16"/>
      <c r="M398" s="16" t="str">
        <f>IF(L398="","",H398*L398)</f>
        <v>0</v>
      </c>
    </row>
    <row r="399" spans="1:13">
      <c r="A399" s="15" t="s">
        <v>1222</v>
      </c>
      <c r="B399" s="16" t="s">
        <v>1223</v>
      </c>
      <c r="C399" s="17" t="s">
        <v>32</v>
      </c>
      <c r="D399" s="16" t="s">
        <v>1113</v>
      </c>
      <c r="E399" s="16" t="s">
        <v>1224</v>
      </c>
      <c r="F399" s="16" t="s">
        <v>212</v>
      </c>
      <c r="G399" s="18">
        <v>3360</v>
      </c>
      <c r="H399" s="19" t="str">
        <f>ROUND((3360/100*(100-M16)),0)</f>
        <v>0</v>
      </c>
      <c r="I399" s="14">
        <v>6</v>
      </c>
      <c r="J399" s="16" t="s">
        <v>264</v>
      </c>
      <c r="K399" s="16" t="s">
        <v>36</v>
      </c>
      <c r="L399" s="16"/>
      <c r="M399" s="16" t="str">
        <f>IF(L399="","",H399*L399)</f>
        <v>0</v>
      </c>
    </row>
    <row r="400" spans="1:13">
      <c r="A400" s="15" t="s">
        <v>1225</v>
      </c>
      <c r="B400" s="16" t="s">
        <v>1226</v>
      </c>
      <c r="C400" s="17" t="s">
        <v>32</v>
      </c>
      <c r="D400" s="16" t="s">
        <v>1113</v>
      </c>
      <c r="E400" s="16" t="s">
        <v>1227</v>
      </c>
      <c r="F400" s="16" t="s">
        <v>465</v>
      </c>
      <c r="G400" s="18">
        <v>2009</v>
      </c>
      <c r="H400" s="19" t="str">
        <f>ROUND((2009/100*(100-M16)),0)</f>
        <v>0</v>
      </c>
      <c r="I400" s="14">
        <v>23</v>
      </c>
      <c r="J400" s="16" t="s">
        <v>947</v>
      </c>
      <c r="K400" s="16" t="s">
        <v>662</v>
      </c>
      <c r="L400" s="16"/>
      <c r="M400" s="16" t="str">
        <f>IF(L400="","",H400*L400)</f>
        <v>0</v>
      </c>
    </row>
    <row r="401" spans="1:13">
      <c r="A401" s="15" t="s">
        <v>1228</v>
      </c>
      <c r="B401" s="16" t="s">
        <v>1229</v>
      </c>
      <c r="C401" s="17" t="s">
        <v>32</v>
      </c>
      <c r="D401" s="16" t="s">
        <v>1113</v>
      </c>
      <c r="E401" s="16" t="s">
        <v>1230</v>
      </c>
      <c r="F401" s="16" t="s">
        <v>639</v>
      </c>
      <c r="G401" s="18">
        <v>564</v>
      </c>
      <c r="H401" s="19" t="str">
        <f>ROUND((564/100*(100-M16)),0)</f>
        <v>0</v>
      </c>
      <c r="I401" s="14">
        <v>303</v>
      </c>
      <c r="J401" s="16" t="s">
        <v>1231</v>
      </c>
      <c r="K401" s="16" t="s">
        <v>662</v>
      </c>
      <c r="L401" s="16"/>
      <c r="M401" s="16" t="str">
        <f>IF(L401="","",H401*L401)</f>
        <v>0</v>
      </c>
    </row>
    <row r="402" spans="1:13">
      <c r="A402" s="15" t="s">
        <v>1232</v>
      </c>
      <c r="B402" s="16" t="s">
        <v>1233</v>
      </c>
      <c r="C402" s="17" t="s">
        <v>32</v>
      </c>
      <c r="D402" s="16" t="s">
        <v>1113</v>
      </c>
      <c r="E402" s="16" t="s">
        <v>1234</v>
      </c>
      <c r="F402" s="16" t="s">
        <v>639</v>
      </c>
      <c r="G402" s="18">
        <v>732</v>
      </c>
      <c r="H402" s="19" t="str">
        <f>ROUND((732/100*(100-M16)),0)</f>
        <v>0</v>
      </c>
      <c r="I402" s="14">
        <v>46</v>
      </c>
      <c r="J402" s="16" t="s">
        <v>1235</v>
      </c>
      <c r="K402" s="16" t="s">
        <v>662</v>
      </c>
      <c r="L402" s="16"/>
      <c r="M402" s="16" t="str">
        <f>IF(L402="","",H402*L402)</f>
        <v>0</v>
      </c>
    </row>
    <row r="403" spans="1:13">
      <c r="A403" s="15" t="s">
        <v>1236</v>
      </c>
      <c r="B403" s="16" t="s">
        <v>1237</v>
      </c>
      <c r="C403" s="17" t="s">
        <v>32</v>
      </c>
      <c r="D403" s="16" t="s">
        <v>1113</v>
      </c>
      <c r="E403" s="16" t="s">
        <v>1238</v>
      </c>
      <c r="F403" s="16" t="s">
        <v>639</v>
      </c>
      <c r="G403" s="18">
        <v>1212</v>
      </c>
      <c r="H403" s="19" t="str">
        <f>ROUND((1212/100*(100-M16)),0)</f>
        <v>0</v>
      </c>
      <c r="I403" s="14">
        <v>46</v>
      </c>
      <c r="J403" s="16" t="s">
        <v>1117</v>
      </c>
      <c r="K403" s="16" t="s">
        <v>662</v>
      </c>
      <c r="L403" s="16"/>
      <c r="M403" s="16" t="str">
        <f>IF(L403="","",H403*L403)</f>
        <v>0</v>
      </c>
    </row>
    <row r="404" spans="1:13">
      <c r="A404" s="15"/>
      <c r="B404" s="16"/>
      <c r="C404" s="17"/>
      <c r="D404" s="16"/>
      <c r="E404" s="16"/>
      <c r="F404" s="16"/>
      <c r="G404" s="18"/>
      <c r="H404" s="19"/>
      <c r="J404" s="16"/>
      <c r="K404" s="16"/>
      <c r="L404" s="16"/>
      <c r="M404" s="16"/>
    </row>
    <row r="405" spans="1:13">
      <c r="A405" s="1" t="s">
        <v>0</v>
      </c>
      <c r="B405" s="1" t="s">
        <v>1</v>
      </c>
      <c r="C405" s="1" t="s">
        <v>2</v>
      </c>
      <c r="D405" s="1" t="s">
        <v>3</v>
      </c>
      <c r="E405" s="1" t="s">
        <v>4</v>
      </c>
      <c r="F405" s="1" t="s">
        <v>5</v>
      </c>
      <c r="G405" s="1" t="s">
        <v>6</v>
      </c>
      <c r="H405" s="1" t="s">
        <v>7</v>
      </c>
      <c r="I405" s="2" t="s">
        <v>8</v>
      </c>
      <c r="J405" s="1" t="s">
        <v>9</v>
      </c>
      <c r="K405" s="1" t="s">
        <v>10</v>
      </c>
      <c r="L405" s="3" t="s">
        <v>11</v>
      </c>
      <c r="M405" s="1" t="s">
        <v>12</v>
      </c>
    </row>
    <row r="406" spans="1:13">
      <c r="A406" s="13" t="s">
        <v>1239</v>
      </c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>
      <c r="A407" s="15" t="s">
        <v>1240</v>
      </c>
      <c r="B407" s="16" t="s">
        <v>1241</v>
      </c>
      <c r="C407" s="17"/>
      <c r="D407" s="16" t="s">
        <v>1239</v>
      </c>
      <c r="E407" s="16" t="s">
        <v>1242</v>
      </c>
      <c r="F407" s="16" t="s">
        <v>639</v>
      </c>
      <c r="G407" s="18">
        <v>238</v>
      </c>
      <c r="H407" s="19" t="str">
        <f>ROUND((238/100*(100-M16)),0)</f>
        <v>0</v>
      </c>
      <c r="I407" s="14">
        <v>191</v>
      </c>
      <c r="J407" s="16" t="s">
        <v>1243</v>
      </c>
      <c r="K407" s="16" t="s">
        <v>36</v>
      </c>
      <c r="L407" s="16"/>
      <c r="M407" s="16" t="str">
        <f>IF(L407="","",H407*L407)</f>
        <v>0</v>
      </c>
    </row>
    <row r="408" spans="1:13">
      <c r="A408" s="15" t="s">
        <v>1244</v>
      </c>
      <c r="B408" s="16" t="s">
        <v>1245</v>
      </c>
      <c r="C408" s="17"/>
      <c r="D408" s="16" t="s">
        <v>1239</v>
      </c>
      <c r="E408" s="16" t="s">
        <v>1246</v>
      </c>
      <c r="F408" s="16" t="s">
        <v>639</v>
      </c>
      <c r="G408" s="18">
        <v>238</v>
      </c>
      <c r="H408" s="19" t="str">
        <f>ROUND((238/100*(100-M16)),0)</f>
        <v>0</v>
      </c>
      <c r="I408" s="14">
        <v>158</v>
      </c>
      <c r="J408" s="16" t="s">
        <v>1243</v>
      </c>
      <c r="K408" s="16" t="s">
        <v>36</v>
      </c>
      <c r="L408" s="16"/>
      <c r="M408" s="16" t="str">
        <f>IF(L408="","",H408*L408)</f>
        <v>0</v>
      </c>
    </row>
    <row r="409" spans="1:13">
      <c r="A409" s="15" t="s">
        <v>1247</v>
      </c>
      <c r="B409" s="16" t="s">
        <v>1248</v>
      </c>
      <c r="C409" s="17"/>
      <c r="D409" s="16" t="s">
        <v>1239</v>
      </c>
      <c r="E409" s="16" t="s">
        <v>1249</v>
      </c>
      <c r="F409" s="16" t="s">
        <v>639</v>
      </c>
      <c r="G409" s="18">
        <v>238</v>
      </c>
      <c r="H409" s="19" t="str">
        <f>ROUND((238/100*(100-M16)),0)</f>
        <v>0</v>
      </c>
      <c r="I409" s="14">
        <v>10</v>
      </c>
      <c r="J409" s="16" t="s">
        <v>1243</v>
      </c>
      <c r="K409" s="16" t="s">
        <v>36</v>
      </c>
      <c r="L409" s="16"/>
      <c r="M409" s="16" t="str">
        <f>IF(L409="","",H409*L409)</f>
        <v>0</v>
      </c>
    </row>
    <row r="410" spans="1:13">
      <c r="A410" s="15" t="s">
        <v>1250</v>
      </c>
      <c r="B410" s="16" t="s">
        <v>1251</v>
      </c>
      <c r="C410" s="17"/>
      <c r="D410" s="16" t="s">
        <v>1239</v>
      </c>
      <c r="E410" s="16" t="s">
        <v>1252</v>
      </c>
      <c r="F410" s="16" t="s">
        <v>639</v>
      </c>
      <c r="G410" s="18">
        <v>238</v>
      </c>
      <c r="H410" s="19" t="str">
        <f>ROUND((238/100*(100-M16)),0)</f>
        <v>0</v>
      </c>
      <c r="I410" s="14">
        <v>1</v>
      </c>
      <c r="J410" s="16" t="s">
        <v>1243</v>
      </c>
      <c r="K410" s="16" t="s">
        <v>36</v>
      </c>
      <c r="L410" s="16"/>
      <c r="M410" s="16" t="str">
        <f>IF(L410="","",H410*L410)</f>
        <v>0</v>
      </c>
    </row>
    <row r="411" spans="1:13">
      <c r="A411" s="15" t="s">
        <v>1253</v>
      </c>
      <c r="B411" s="16" t="s">
        <v>1254</v>
      </c>
      <c r="C411" s="17"/>
      <c r="D411" s="16" t="s">
        <v>1239</v>
      </c>
      <c r="E411" s="16" t="s">
        <v>1255</v>
      </c>
      <c r="F411" s="16" t="s">
        <v>639</v>
      </c>
      <c r="G411" s="18">
        <v>238</v>
      </c>
      <c r="H411" s="19" t="str">
        <f>ROUND((238/100*(100-M16)),0)</f>
        <v>0</v>
      </c>
      <c r="I411" s="14">
        <v>6</v>
      </c>
      <c r="J411" s="16" t="s">
        <v>1243</v>
      </c>
      <c r="K411" s="16" t="s">
        <v>36</v>
      </c>
      <c r="L411" s="16"/>
      <c r="M411" s="16" t="str">
        <f>IF(L411="","",H411*L411)</f>
        <v>0</v>
      </c>
    </row>
    <row r="412" spans="1:13">
      <c r="A412" s="15" t="s">
        <v>1256</v>
      </c>
      <c r="B412" s="16" t="s">
        <v>1257</v>
      </c>
      <c r="C412" s="17"/>
      <c r="D412" s="16" t="s">
        <v>1239</v>
      </c>
      <c r="E412" s="16" t="s">
        <v>1258</v>
      </c>
      <c r="F412" s="16" t="s">
        <v>639</v>
      </c>
      <c r="G412" s="18">
        <v>238</v>
      </c>
      <c r="H412" s="19" t="str">
        <f>ROUND((238/100*(100-M16)),0)</f>
        <v>0</v>
      </c>
      <c r="I412" s="14">
        <v>101</v>
      </c>
      <c r="J412" s="16" t="s">
        <v>1243</v>
      </c>
      <c r="K412" s="16" t="s">
        <v>36</v>
      </c>
      <c r="L412" s="16"/>
      <c r="M412" s="16" t="str">
        <f>IF(L412="","",H412*L412)</f>
        <v>0</v>
      </c>
    </row>
    <row r="413" spans="1:13">
      <c r="A413" s="15" t="s">
        <v>1259</v>
      </c>
      <c r="B413" s="16" t="s">
        <v>1260</v>
      </c>
      <c r="C413" s="17"/>
      <c r="D413" s="16" t="s">
        <v>1239</v>
      </c>
      <c r="E413" s="16" t="s">
        <v>1261</v>
      </c>
      <c r="F413" s="16" t="s">
        <v>639</v>
      </c>
      <c r="G413" s="18">
        <v>238</v>
      </c>
      <c r="H413" s="19" t="str">
        <f>ROUND((238/100*(100-M16)),0)</f>
        <v>0</v>
      </c>
      <c r="I413" s="14">
        <v>39</v>
      </c>
      <c r="J413" s="16" t="s">
        <v>1243</v>
      </c>
      <c r="K413" s="16" t="s">
        <v>36</v>
      </c>
      <c r="L413" s="16"/>
      <c r="M413" s="16" t="str">
        <f>IF(L413="","",H413*L413)</f>
        <v>0</v>
      </c>
    </row>
    <row r="414" spans="1:13">
      <c r="A414" s="15" t="s">
        <v>1262</v>
      </c>
      <c r="B414" s="16" t="s">
        <v>1263</v>
      </c>
      <c r="C414" s="17"/>
      <c r="D414" s="16" t="s">
        <v>1239</v>
      </c>
      <c r="E414" s="16" t="s">
        <v>1264</v>
      </c>
      <c r="F414" s="16" t="s">
        <v>639</v>
      </c>
      <c r="G414" s="18">
        <v>238</v>
      </c>
      <c r="H414" s="19" t="str">
        <f>ROUND((238/100*(100-M16)),0)</f>
        <v>0</v>
      </c>
      <c r="I414" s="14">
        <v>184</v>
      </c>
      <c r="J414" s="16" t="s">
        <v>1243</v>
      </c>
      <c r="K414" s="16" t="s">
        <v>36</v>
      </c>
      <c r="L414" s="16"/>
      <c r="M414" s="16" t="str">
        <f>IF(L414="","",H414*L414)</f>
        <v>0</v>
      </c>
    </row>
    <row r="415" spans="1:13">
      <c r="A415" s="15" t="s">
        <v>1265</v>
      </c>
      <c r="B415" s="16" t="s">
        <v>1266</v>
      </c>
      <c r="C415" s="17"/>
      <c r="D415" s="16" t="s">
        <v>1239</v>
      </c>
      <c r="E415" s="16" t="s">
        <v>1267</v>
      </c>
      <c r="F415" s="16" t="s">
        <v>639</v>
      </c>
      <c r="G415" s="18">
        <v>238</v>
      </c>
      <c r="H415" s="19" t="str">
        <f>ROUND((238/100*(100-M16)),0)</f>
        <v>0</v>
      </c>
      <c r="I415" s="14">
        <v>107</v>
      </c>
      <c r="J415" s="16" t="s">
        <v>1243</v>
      </c>
      <c r="K415" s="16" t="s">
        <v>36</v>
      </c>
      <c r="L415" s="16"/>
      <c r="M415" s="16" t="str">
        <f>IF(L415="","",H415*L415)</f>
        <v>0</v>
      </c>
    </row>
    <row r="416" spans="1:13">
      <c r="A416" s="15" t="s">
        <v>1268</v>
      </c>
      <c r="B416" s="16" t="s">
        <v>1269</v>
      </c>
      <c r="C416" s="17"/>
      <c r="D416" s="16" t="s">
        <v>1239</v>
      </c>
      <c r="E416" s="16" t="s">
        <v>1270</v>
      </c>
      <c r="F416" s="16" t="s">
        <v>639</v>
      </c>
      <c r="G416" s="18">
        <v>238</v>
      </c>
      <c r="H416" s="19" t="str">
        <f>ROUND((238/100*(100-M16)),0)</f>
        <v>0</v>
      </c>
      <c r="I416" s="14">
        <v>89</v>
      </c>
      <c r="J416" s="16" t="s">
        <v>1243</v>
      </c>
      <c r="K416" s="16" t="s">
        <v>36</v>
      </c>
      <c r="L416" s="16"/>
      <c r="M416" s="16" t="str">
        <f>IF(L416="","",H416*L416)</f>
        <v>0</v>
      </c>
    </row>
    <row r="417" spans="1:13">
      <c r="A417" s="15" t="s">
        <v>1271</v>
      </c>
      <c r="B417" s="16" t="s">
        <v>1272</v>
      </c>
      <c r="C417" s="17"/>
      <c r="D417" s="16" t="s">
        <v>1239</v>
      </c>
      <c r="E417" s="16" t="s">
        <v>1273</v>
      </c>
      <c r="F417" s="16" t="s">
        <v>695</v>
      </c>
      <c r="G417" s="18">
        <v>198</v>
      </c>
      <c r="H417" s="19" t="str">
        <f>ROUND((198/100*(100-M16)),0)</f>
        <v>0</v>
      </c>
      <c r="I417" s="14">
        <v>136</v>
      </c>
      <c r="J417" s="16" t="s">
        <v>1274</v>
      </c>
      <c r="K417" s="16" t="s">
        <v>36</v>
      </c>
      <c r="L417" s="16"/>
      <c r="M417" s="16" t="str">
        <f>IF(L417="","",H417*L417)</f>
        <v>0</v>
      </c>
    </row>
    <row r="418" spans="1:13">
      <c r="A418" s="15" t="s">
        <v>1275</v>
      </c>
      <c r="B418" s="16" t="s">
        <v>1276</v>
      </c>
      <c r="C418" s="17"/>
      <c r="D418" s="16" t="s">
        <v>1239</v>
      </c>
      <c r="E418" s="16" t="s">
        <v>1277</v>
      </c>
      <c r="F418" s="16" t="s">
        <v>695</v>
      </c>
      <c r="G418" s="18">
        <v>202</v>
      </c>
      <c r="H418" s="19" t="str">
        <f>ROUND((202/100*(100-M16)),0)</f>
        <v>0</v>
      </c>
      <c r="I418" s="14">
        <v>40</v>
      </c>
      <c r="J418" s="16" t="s">
        <v>1274</v>
      </c>
      <c r="K418" s="16" t="s">
        <v>36</v>
      </c>
      <c r="L418" s="16"/>
      <c r="M418" s="16" t="str">
        <f>IF(L418="","",H418*L418)</f>
        <v>0</v>
      </c>
    </row>
    <row r="419" spans="1:13">
      <c r="A419" s="15" t="s">
        <v>1278</v>
      </c>
      <c r="B419" s="16" t="s">
        <v>1279</v>
      </c>
      <c r="C419" s="17"/>
      <c r="D419" s="16" t="s">
        <v>1239</v>
      </c>
      <c r="E419" s="16" t="s">
        <v>1280</v>
      </c>
      <c r="F419" s="16" t="s">
        <v>695</v>
      </c>
      <c r="G419" s="18">
        <v>202</v>
      </c>
      <c r="H419" s="19" t="str">
        <f>ROUND((202/100*(100-M16)),0)</f>
        <v>0</v>
      </c>
      <c r="I419" s="14">
        <v>18</v>
      </c>
      <c r="J419" s="16" t="s">
        <v>1274</v>
      </c>
      <c r="K419" s="16" t="s">
        <v>36</v>
      </c>
      <c r="L419" s="16"/>
      <c r="M419" s="16" t="str">
        <f>IF(L419="","",H419*L419)</f>
        <v>0</v>
      </c>
    </row>
    <row r="420" spans="1:13">
      <c r="A420" s="15" t="s">
        <v>1281</v>
      </c>
      <c r="B420" s="16" t="s">
        <v>1282</v>
      </c>
      <c r="C420" s="17"/>
      <c r="D420" s="16" t="s">
        <v>1239</v>
      </c>
      <c r="E420" s="16" t="s">
        <v>1283</v>
      </c>
      <c r="F420" s="16" t="s">
        <v>695</v>
      </c>
      <c r="G420" s="18">
        <v>330</v>
      </c>
      <c r="H420" s="19" t="str">
        <f>ROUND((330/100*(100-M16)),0)</f>
        <v>0</v>
      </c>
      <c r="I420" s="14">
        <v>74</v>
      </c>
      <c r="J420" s="16" t="s">
        <v>1284</v>
      </c>
      <c r="K420" s="16" t="s">
        <v>36</v>
      </c>
      <c r="L420" s="16"/>
      <c r="M420" s="16" t="str">
        <f>IF(L420="","",H420*L420)</f>
        <v>0</v>
      </c>
    </row>
    <row r="421" spans="1:13">
      <c r="A421" s="15" t="s">
        <v>1285</v>
      </c>
      <c r="B421" s="16" t="s">
        <v>1286</v>
      </c>
      <c r="C421" s="17"/>
      <c r="D421" s="16" t="s">
        <v>1239</v>
      </c>
      <c r="E421" s="16" t="s">
        <v>1287</v>
      </c>
      <c r="F421" s="16" t="s">
        <v>695</v>
      </c>
      <c r="G421" s="18">
        <v>452</v>
      </c>
      <c r="H421" s="19" t="str">
        <f>ROUND((452/100*(100-M16)),0)</f>
        <v>0</v>
      </c>
      <c r="I421" s="14">
        <v>107</v>
      </c>
      <c r="J421" s="16" t="s">
        <v>1284</v>
      </c>
      <c r="K421" s="16" t="s">
        <v>36</v>
      </c>
      <c r="L421" s="16"/>
      <c r="M421" s="16" t="str">
        <f>IF(L421="","",H421*L421)</f>
        <v>0</v>
      </c>
    </row>
    <row r="422" spans="1:13">
      <c r="A422" s="15" t="s">
        <v>1288</v>
      </c>
      <c r="B422" s="16" t="s">
        <v>1289</v>
      </c>
      <c r="C422" s="17"/>
      <c r="D422" s="16" t="s">
        <v>1239</v>
      </c>
      <c r="E422" s="16" t="s">
        <v>1290</v>
      </c>
      <c r="F422" s="16" t="s">
        <v>695</v>
      </c>
      <c r="G422" s="18">
        <v>465</v>
      </c>
      <c r="H422" s="19" t="str">
        <f>ROUND((465/100*(100-M16)),0)</f>
        <v>0</v>
      </c>
      <c r="I422" s="14">
        <v>25</v>
      </c>
      <c r="J422" s="16" t="s">
        <v>1284</v>
      </c>
      <c r="K422" s="16" t="s">
        <v>36</v>
      </c>
      <c r="L422" s="16"/>
      <c r="M422" s="16" t="str">
        <f>IF(L422="","",H422*L422)</f>
        <v>0</v>
      </c>
    </row>
    <row r="423" spans="1:13">
      <c r="A423" s="15" t="s">
        <v>1291</v>
      </c>
      <c r="B423" s="16" t="s">
        <v>1292</v>
      </c>
      <c r="C423" s="17" t="s">
        <v>32</v>
      </c>
      <c r="D423" s="16" t="s">
        <v>1239</v>
      </c>
      <c r="E423" s="16" t="s">
        <v>1293</v>
      </c>
      <c r="F423" s="16" t="s">
        <v>1294</v>
      </c>
      <c r="G423" s="18">
        <v>74</v>
      </c>
      <c r="H423" s="19" t="str">
        <f>ROUND((74/100*(100-M16)),0)</f>
        <v>0</v>
      </c>
      <c r="I423" s="14">
        <v>175</v>
      </c>
      <c r="J423" s="16" t="s">
        <v>1295</v>
      </c>
      <c r="K423" s="16" t="s">
        <v>36</v>
      </c>
      <c r="L423" s="16"/>
      <c r="M423" s="16" t="str">
        <f>IF(L423="","",H423*L423)</f>
        <v>0</v>
      </c>
    </row>
    <row r="424" spans="1:13">
      <c r="A424" s="15" t="s">
        <v>1296</v>
      </c>
      <c r="B424" s="16" t="s">
        <v>1297</v>
      </c>
      <c r="C424" s="17" t="s">
        <v>32</v>
      </c>
      <c r="D424" s="16" t="s">
        <v>1239</v>
      </c>
      <c r="E424" s="16" t="s">
        <v>1298</v>
      </c>
      <c r="F424" s="16" t="s">
        <v>1294</v>
      </c>
      <c r="G424" s="18">
        <v>200</v>
      </c>
      <c r="H424" s="19" t="str">
        <f>ROUND((200/100*(100-M16)),0)</f>
        <v>0</v>
      </c>
      <c r="I424" s="14">
        <v>130</v>
      </c>
      <c r="J424" s="16" t="s">
        <v>1299</v>
      </c>
      <c r="K424" s="16" t="s">
        <v>662</v>
      </c>
      <c r="L424" s="16"/>
      <c r="M424" s="16" t="str">
        <f>IF(L424="","",H424*L424)</f>
        <v>0</v>
      </c>
    </row>
    <row r="425" spans="1:13">
      <c r="A425" s="15" t="s">
        <v>1300</v>
      </c>
      <c r="B425" s="16" t="s">
        <v>1301</v>
      </c>
      <c r="C425" s="17" t="s">
        <v>32</v>
      </c>
      <c r="D425" s="16" t="s">
        <v>1239</v>
      </c>
      <c r="E425" s="16" t="s">
        <v>1302</v>
      </c>
      <c r="F425" s="16" t="s">
        <v>1294</v>
      </c>
      <c r="G425" s="18">
        <v>202</v>
      </c>
      <c r="H425" s="19" t="str">
        <f>ROUND((202/100*(100-M16)),0)</f>
        <v>0</v>
      </c>
      <c r="I425" s="14">
        <v>150</v>
      </c>
      <c r="J425" s="16" t="s">
        <v>1299</v>
      </c>
      <c r="K425" s="16" t="s">
        <v>662</v>
      </c>
      <c r="L425" s="16"/>
      <c r="M425" s="16" t="str">
        <f>IF(L425="","",H425*L425)</f>
        <v>0</v>
      </c>
    </row>
    <row r="426" spans="1:13">
      <c r="A426" s="15" t="s">
        <v>1303</v>
      </c>
      <c r="B426" s="16" t="s">
        <v>1304</v>
      </c>
      <c r="C426" s="17" t="s">
        <v>32</v>
      </c>
      <c r="D426" s="16" t="s">
        <v>1239</v>
      </c>
      <c r="E426" s="16" t="s">
        <v>1305</v>
      </c>
      <c r="F426" s="16" t="s">
        <v>1294</v>
      </c>
      <c r="G426" s="18">
        <v>272</v>
      </c>
      <c r="H426" s="19" t="str">
        <f>ROUND((272/100*(100-M16)),0)</f>
        <v>0</v>
      </c>
      <c r="I426" s="14">
        <v>104</v>
      </c>
      <c r="J426" s="16" t="s">
        <v>1299</v>
      </c>
      <c r="K426" s="16" t="s">
        <v>662</v>
      </c>
      <c r="L426" s="16"/>
      <c r="M426" s="16" t="str">
        <f>IF(L426="","",H426*L426)</f>
        <v>0</v>
      </c>
    </row>
    <row r="427" spans="1:13">
      <c r="A427" s="15" t="s">
        <v>1306</v>
      </c>
      <c r="B427" s="16" t="s">
        <v>1307</v>
      </c>
      <c r="C427" s="17"/>
      <c r="D427" s="16" t="s">
        <v>1239</v>
      </c>
      <c r="E427" s="16" t="s">
        <v>1308</v>
      </c>
      <c r="F427" s="16" t="s">
        <v>1294</v>
      </c>
      <c r="G427" s="18">
        <v>106</v>
      </c>
      <c r="H427" s="19" t="str">
        <f>ROUND((106/100*(100-M16)),0)</f>
        <v>0</v>
      </c>
      <c r="I427" s="14">
        <v>55</v>
      </c>
      <c r="J427" s="16" t="s">
        <v>1295</v>
      </c>
      <c r="K427" s="16" t="s">
        <v>36</v>
      </c>
      <c r="L427" s="16"/>
      <c r="M427" s="16" t="str">
        <f>IF(L427="","",H427*L427)</f>
        <v>0</v>
      </c>
    </row>
    <row r="428" spans="1:13">
      <c r="A428" s="15" t="s">
        <v>1309</v>
      </c>
      <c r="B428" s="16" t="s">
        <v>1310</v>
      </c>
      <c r="C428" s="17" t="s">
        <v>32</v>
      </c>
      <c r="D428" s="16" t="s">
        <v>1239</v>
      </c>
      <c r="E428" s="16" t="s">
        <v>1311</v>
      </c>
      <c r="F428" s="16" t="s">
        <v>1294</v>
      </c>
      <c r="G428" s="18">
        <v>116</v>
      </c>
      <c r="H428" s="19" t="str">
        <f>ROUND((116/100*(100-M16)),0)</f>
        <v>0</v>
      </c>
      <c r="I428" s="14">
        <v>144</v>
      </c>
      <c r="J428" s="16" t="s">
        <v>1295</v>
      </c>
      <c r="K428" s="16" t="s">
        <v>36</v>
      </c>
      <c r="L428" s="16"/>
      <c r="M428" s="16" t="str">
        <f>IF(L428="","",H428*L428)</f>
        <v>0</v>
      </c>
    </row>
    <row r="429" spans="1:13">
      <c r="A429" s="15"/>
      <c r="B429" s="16"/>
      <c r="C429" s="17"/>
      <c r="D429" s="16"/>
      <c r="E429" s="16"/>
      <c r="F429" s="16"/>
      <c r="G429" s="18"/>
      <c r="H429" s="19"/>
      <c r="J429" s="16"/>
      <c r="K429" s="16"/>
      <c r="L429" s="16"/>
      <c r="M429" s="16"/>
    </row>
    <row r="430" spans="1:13">
      <c r="A430" s="1" t="s">
        <v>0</v>
      </c>
      <c r="B430" s="1" t="s">
        <v>1</v>
      </c>
      <c r="C430" s="1" t="s">
        <v>2</v>
      </c>
      <c r="D430" s="1" t="s">
        <v>3</v>
      </c>
      <c r="E430" s="1" t="s">
        <v>4</v>
      </c>
      <c r="F430" s="1" t="s">
        <v>5</v>
      </c>
      <c r="G430" s="1" t="s">
        <v>6</v>
      </c>
      <c r="H430" s="1" t="s">
        <v>7</v>
      </c>
      <c r="I430" s="2" t="s">
        <v>8</v>
      </c>
      <c r="J430" s="1" t="s">
        <v>9</v>
      </c>
      <c r="K430" s="1" t="s">
        <v>10</v>
      </c>
      <c r="L430" s="3" t="s">
        <v>11</v>
      </c>
      <c r="M430" s="1" t="s">
        <v>12</v>
      </c>
    </row>
    <row r="431" spans="1:13">
      <c r="A431" s="13" t="s">
        <v>1312</v>
      </c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>
      <c r="A432" s="15" t="s">
        <v>1313</v>
      </c>
      <c r="B432" s="16" t="s">
        <v>1314</v>
      </c>
      <c r="C432" s="17" t="s">
        <v>32</v>
      </c>
      <c r="D432" s="16" t="s">
        <v>1312</v>
      </c>
      <c r="E432" s="16" t="s">
        <v>1315</v>
      </c>
      <c r="F432" s="16" t="s">
        <v>212</v>
      </c>
      <c r="G432" s="18">
        <v>194</v>
      </c>
      <c r="H432" s="19" t="str">
        <f>ROUND((194/100*(100-M16)),0)</f>
        <v>0</v>
      </c>
      <c r="I432" s="14">
        <v>141</v>
      </c>
      <c r="J432" s="16" t="s">
        <v>1316</v>
      </c>
      <c r="K432" s="16" t="s">
        <v>662</v>
      </c>
      <c r="L432" s="16"/>
      <c r="M432" s="16" t="str">
        <f>IF(L432="","",H432*L432)</f>
        <v>0</v>
      </c>
    </row>
    <row r="433" spans="1:13">
      <c r="A433" s="15" t="s">
        <v>1317</v>
      </c>
      <c r="B433" s="16" t="s">
        <v>1318</v>
      </c>
      <c r="C433" s="17" t="s">
        <v>32</v>
      </c>
      <c r="D433" s="16" t="s">
        <v>1312</v>
      </c>
      <c r="E433" s="16" t="s">
        <v>1319</v>
      </c>
      <c r="F433" s="16" t="s">
        <v>212</v>
      </c>
      <c r="G433" s="18">
        <v>72</v>
      </c>
      <c r="H433" s="19" t="str">
        <f>ROUND((72/100*(100-M16)),0)</f>
        <v>0</v>
      </c>
      <c r="I433" s="14">
        <v>577</v>
      </c>
      <c r="J433" s="16" t="s">
        <v>1320</v>
      </c>
      <c r="K433" s="16" t="s">
        <v>662</v>
      </c>
      <c r="L433" s="16"/>
      <c r="M433" s="16" t="str">
        <f>IF(L433="","",H433*L433)</f>
        <v>0</v>
      </c>
    </row>
    <row r="434" spans="1:13">
      <c r="A434" s="15" t="s">
        <v>1321</v>
      </c>
      <c r="B434" s="16" t="s">
        <v>1322</v>
      </c>
      <c r="C434" s="17" t="s">
        <v>32</v>
      </c>
      <c r="D434" s="16" t="s">
        <v>1312</v>
      </c>
      <c r="E434" s="16" t="s">
        <v>1323</v>
      </c>
      <c r="F434" s="16" t="s">
        <v>212</v>
      </c>
      <c r="G434" s="18">
        <v>166</v>
      </c>
      <c r="H434" s="19" t="str">
        <f>ROUND((166/100*(100-M16)),0)</f>
        <v>0</v>
      </c>
      <c r="I434" s="14">
        <v>112</v>
      </c>
      <c r="J434" s="16" t="s">
        <v>1324</v>
      </c>
      <c r="K434" s="16" t="s">
        <v>662</v>
      </c>
      <c r="L434" s="16"/>
      <c r="M434" s="16" t="str">
        <f>IF(L434="","",H434*L434)</f>
        <v>0</v>
      </c>
    </row>
    <row r="435" spans="1:13">
      <c r="A435" s="15" t="s">
        <v>1325</v>
      </c>
      <c r="B435" s="16" t="s">
        <v>1326</v>
      </c>
      <c r="C435" s="17" t="s">
        <v>32</v>
      </c>
      <c r="D435" s="16" t="s">
        <v>1312</v>
      </c>
      <c r="E435" s="16" t="s">
        <v>1327</v>
      </c>
      <c r="F435" s="16" t="s">
        <v>639</v>
      </c>
      <c r="G435" s="18">
        <v>110</v>
      </c>
      <c r="H435" s="19" t="str">
        <f>ROUND((110/100*(100-M16)),0)</f>
        <v>0</v>
      </c>
      <c r="I435" s="14">
        <v>21</v>
      </c>
      <c r="J435" s="16" t="s">
        <v>1328</v>
      </c>
      <c r="K435" s="16" t="s">
        <v>662</v>
      </c>
      <c r="L435" s="16"/>
      <c r="M435" s="16" t="str">
        <f>IF(L435="","",H435*L435)</f>
        <v>0</v>
      </c>
    </row>
    <row r="436" spans="1:13">
      <c r="A436" s="15" t="s">
        <v>1329</v>
      </c>
      <c r="B436" s="16" t="s">
        <v>1330</v>
      </c>
      <c r="C436" s="17" t="s">
        <v>32</v>
      </c>
      <c r="D436" s="16" t="s">
        <v>1312</v>
      </c>
      <c r="E436" s="16" t="s">
        <v>1331</v>
      </c>
      <c r="F436" s="16" t="s">
        <v>639</v>
      </c>
      <c r="G436" s="18">
        <v>45</v>
      </c>
      <c r="H436" s="19" t="str">
        <f>ROUND((45/100*(100-M16)),0)</f>
        <v>0</v>
      </c>
      <c r="I436" s="14">
        <v>61</v>
      </c>
      <c r="J436" s="16" t="s">
        <v>1332</v>
      </c>
      <c r="K436" s="16" t="s">
        <v>662</v>
      </c>
      <c r="L436" s="16"/>
      <c r="M436" s="16" t="str">
        <f>IF(L436="","",H436*L436)</f>
        <v>0</v>
      </c>
    </row>
    <row r="437" spans="1:13">
      <c r="A437" s="15" t="s">
        <v>1333</v>
      </c>
      <c r="B437" s="16" t="s">
        <v>1334</v>
      </c>
      <c r="C437" s="17" t="s">
        <v>32</v>
      </c>
      <c r="D437" s="16" t="s">
        <v>1312</v>
      </c>
      <c r="E437" s="16" t="s">
        <v>1335</v>
      </c>
      <c r="F437" s="16" t="s">
        <v>1294</v>
      </c>
      <c r="G437" s="18">
        <v>476</v>
      </c>
      <c r="H437" s="19" t="str">
        <f>ROUND((476/100*(100-M16)),0)</f>
        <v>0</v>
      </c>
      <c r="I437" s="14">
        <v>200</v>
      </c>
      <c r="J437" s="16" t="s">
        <v>1336</v>
      </c>
      <c r="K437" s="16" t="s">
        <v>662</v>
      </c>
      <c r="L437" s="16"/>
      <c r="M437" s="16" t="str">
        <f>IF(L437="","",H437*L437)</f>
        <v>0</v>
      </c>
    </row>
    <row r="438" spans="1:13">
      <c r="A438" s="15" t="s">
        <v>1337</v>
      </c>
      <c r="B438" s="16" t="s">
        <v>1338</v>
      </c>
      <c r="C438" s="17" t="s">
        <v>32</v>
      </c>
      <c r="D438" s="16" t="s">
        <v>1312</v>
      </c>
      <c r="E438" s="16" t="s">
        <v>1339</v>
      </c>
      <c r="F438" s="16" t="s">
        <v>1294</v>
      </c>
      <c r="G438" s="18">
        <v>115</v>
      </c>
      <c r="H438" s="19" t="str">
        <f>ROUND((115/100*(100-M16)),0)</f>
        <v>0</v>
      </c>
      <c r="I438" s="14">
        <v>51</v>
      </c>
      <c r="J438" s="16" t="s">
        <v>1340</v>
      </c>
      <c r="K438" s="16" t="s">
        <v>662</v>
      </c>
      <c r="L438" s="16"/>
      <c r="M438" s="16" t="str">
        <f>IF(L438="","",H438*L438)</f>
        <v>0</v>
      </c>
    </row>
    <row r="439" spans="1:13">
      <c r="A439" s="15" t="s">
        <v>1341</v>
      </c>
      <c r="B439" s="16" t="s">
        <v>1342</v>
      </c>
      <c r="C439" s="17" t="s">
        <v>32</v>
      </c>
      <c r="D439" s="16" t="s">
        <v>1312</v>
      </c>
      <c r="E439" s="16" t="s">
        <v>1343</v>
      </c>
      <c r="F439" s="16" t="s">
        <v>1294</v>
      </c>
      <c r="G439" s="18">
        <v>115</v>
      </c>
      <c r="H439" s="19" t="str">
        <f>ROUND((115/100*(100-M16)),0)</f>
        <v>0</v>
      </c>
      <c r="I439" s="14">
        <v>146</v>
      </c>
      <c r="J439" s="16" t="s">
        <v>1340</v>
      </c>
      <c r="K439" s="16" t="s">
        <v>662</v>
      </c>
      <c r="L439" s="16"/>
      <c r="M439" s="16" t="str">
        <f>IF(L439="","",H439*L439)</f>
        <v>0</v>
      </c>
    </row>
    <row r="440" spans="1:13">
      <c r="A440" s="15" t="s">
        <v>1344</v>
      </c>
      <c r="B440" s="16" t="s">
        <v>1345</v>
      </c>
      <c r="C440" s="17" t="s">
        <v>32</v>
      </c>
      <c r="D440" s="16" t="s">
        <v>1312</v>
      </c>
      <c r="E440" s="16" t="s">
        <v>1346</v>
      </c>
      <c r="F440" s="16" t="s">
        <v>1294</v>
      </c>
      <c r="G440" s="18">
        <v>115</v>
      </c>
      <c r="H440" s="19" t="str">
        <f>ROUND((115/100*(100-M16)),0)</f>
        <v>0</v>
      </c>
      <c r="I440" s="14">
        <v>49</v>
      </c>
      <c r="J440" s="16" t="s">
        <v>1340</v>
      </c>
      <c r="K440" s="16" t="s">
        <v>662</v>
      </c>
      <c r="L440" s="16"/>
      <c r="M440" s="16" t="str">
        <f>IF(L440="","",H440*L440)</f>
        <v>0</v>
      </c>
    </row>
    <row r="441" spans="1:13">
      <c r="A441" s="15" t="s">
        <v>1347</v>
      </c>
      <c r="B441" s="16" t="s">
        <v>1348</v>
      </c>
      <c r="C441" s="17" t="s">
        <v>32</v>
      </c>
      <c r="D441" s="16" t="s">
        <v>1312</v>
      </c>
      <c r="E441" s="16" t="s">
        <v>1349</v>
      </c>
      <c r="F441" s="16" t="s">
        <v>1350</v>
      </c>
      <c r="G441" s="18">
        <v>44</v>
      </c>
      <c r="H441" s="19" t="str">
        <f>ROUND((44/100*(100-M16)),0)</f>
        <v>0</v>
      </c>
      <c r="I441" s="14">
        <v>815</v>
      </c>
      <c r="J441" s="16" t="s">
        <v>1351</v>
      </c>
      <c r="K441" s="16" t="s">
        <v>662</v>
      </c>
      <c r="L441" s="16"/>
      <c r="M441" s="16" t="str">
        <f>IF(L441="","",H441*L441)</f>
        <v>0</v>
      </c>
    </row>
    <row r="442" spans="1:13">
      <c r="A442" s="15" t="s">
        <v>1352</v>
      </c>
      <c r="B442" s="16" t="s">
        <v>1353</v>
      </c>
      <c r="C442" s="17"/>
      <c r="D442" s="16" t="s">
        <v>1312</v>
      </c>
      <c r="E442" s="16" t="s">
        <v>1354</v>
      </c>
      <c r="F442" s="16" t="s">
        <v>1350</v>
      </c>
      <c r="G442" s="18">
        <v>310</v>
      </c>
      <c r="H442" s="19" t="str">
        <f>ROUND((310/100*(100-M16)),0)</f>
        <v>0</v>
      </c>
      <c r="I442" s="14">
        <v>356</v>
      </c>
      <c r="J442" s="16" t="s">
        <v>1355</v>
      </c>
      <c r="K442" s="16" t="s">
        <v>662</v>
      </c>
      <c r="L442" s="16"/>
      <c r="M442" s="16" t="str">
        <f>IF(L442="","",H442*L442)</f>
        <v>0</v>
      </c>
    </row>
    <row r="443" spans="1:13">
      <c r="A443" s="15" t="s">
        <v>1356</v>
      </c>
      <c r="B443" s="16" t="s">
        <v>1357</v>
      </c>
      <c r="C443" s="17"/>
      <c r="D443" s="16" t="s">
        <v>1312</v>
      </c>
      <c r="E443" s="16" t="s">
        <v>1358</v>
      </c>
      <c r="F443" s="16" t="s">
        <v>1350</v>
      </c>
      <c r="G443" s="18">
        <v>300</v>
      </c>
      <c r="H443" s="19" t="str">
        <f>ROUND((300/100*(100-M16)),0)</f>
        <v>0</v>
      </c>
      <c r="I443" s="14">
        <v>321</v>
      </c>
      <c r="J443" s="16" t="s">
        <v>1355</v>
      </c>
      <c r="K443" s="16" t="s">
        <v>662</v>
      </c>
      <c r="L443" s="16"/>
      <c r="M443" s="16" t="str">
        <f>IF(L443="","",H443*L443)</f>
        <v>0</v>
      </c>
    </row>
    <row r="444" spans="1:13">
      <c r="A444" s="15" t="s">
        <v>1359</v>
      </c>
      <c r="B444" s="16" t="s">
        <v>1360</v>
      </c>
      <c r="C444" s="17"/>
      <c r="D444" s="16" t="s">
        <v>1312</v>
      </c>
      <c r="E444" s="16" t="s">
        <v>1361</v>
      </c>
      <c r="F444" s="16" t="s">
        <v>1350</v>
      </c>
      <c r="G444" s="18">
        <v>318</v>
      </c>
      <c r="H444" s="19" t="str">
        <f>ROUND((318/100*(100-M16)),0)</f>
        <v>0</v>
      </c>
      <c r="I444" s="14">
        <v>656</v>
      </c>
      <c r="J444" s="16" t="s">
        <v>1355</v>
      </c>
      <c r="K444" s="16" t="s">
        <v>662</v>
      </c>
      <c r="L444" s="16"/>
      <c r="M444" s="16" t="str">
        <f>IF(L444="","",H444*L444)</f>
        <v>0</v>
      </c>
    </row>
    <row r="445" spans="1:13">
      <c r="A445" s="15" t="s">
        <v>1362</v>
      </c>
      <c r="B445" s="16" t="s">
        <v>1363</v>
      </c>
      <c r="C445" s="17"/>
      <c r="D445" s="16" t="s">
        <v>1312</v>
      </c>
      <c r="E445" s="16" t="s">
        <v>1364</v>
      </c>
      <c r="F445" s="16" t="s">
        <v>1350</v>
      </c>
      <c r="G445" s="18">
        <v>324</v>
      </c>
      <c r="H445" s="19" t="str">
        <f>ROUND((324/100*(100-M16)),0)</f>
        <v>0</v>
      </c>
      <c r="I445" s="14">
        <v>299</v>
      </c>
      <c r="J445" s="16" t="s">
        <v>1355</v>
      </c>
      <c r="K445" s="16" t="s">
        <v>662</v>
      </c>
      <c r="L445" s="16"/>
      <c r="M445" s="16" t="str">
        <f>IF(L445="","",H445*L445)</f>
        <v>0</v>
      </c>
    </row>
    <row r="446" spans="1:13">
      <c r="A446" s="15" t="s">
        <v>1365</v>
      </c>
      <c r="B446" s="16" t="s">
        <v>1366</v>
      </c>
      <c r="C446" s="17"/>
      <c r="D446" s="16" t="s">
        <v>1312</v>
      </c>
      <c r="E446" s="16" t="s">
        <v>1367</v>
      </c>
      <c r="F446" s="16" t="s">
        <v>1350</v>
      </c>
      <c r="G446" s="18">
        <v>416</v>
      </c>
      <c r="H446" s="19" t="str">
        <f>ROUND((416/100*(100-M16)),0)</f>
        <v>0</v>
      </c>
      <c r="I446" s="14">
        <v>284</v>
      </c>
      <c r="J446" s="16" t="s">
        <v>1368</v>
      </c>
      <c r="K446" s="16" t="s">
        <v>662</v>
      </c>
      <c r="L446" s="16"/>
      <c r="M446" s="16" t="str">
        <f>IF(L446="","",H446*L446)</f>
        <v>0</v>
      </c>
    </row>
    <row r="447" spans="1:13">
      <c r="A447" s="15" t="s">
        <v>1369</v>
      </c>
      <c r="B447" s="16" t="s">
        <v>1370</v>
      </c>
      <c r="C447" s="17"/>
      <c r="D447" s="16" t="s">
        <v>1312</v>
      </c>
      <c r="E447" s="16" t="s">
        <v>1371</v>
      </c>
      <c r="F447" s="16" t="s">
        <v>1350</v>
      </c>
      <c r="G447" s="18">
        <v>410</v>
      </c>
      <c r="H447" s="19" t="str">
        <f>ROUND((410/100*(100-M16)),0)</f>
        <v>0</v>
      </c>
      <c r="I447" s="14">
        <v>359</v>
      </c>
      <c r="J447" s="16" t="s">
        <v>1355</v>
      </c>
      <c r="K447" s="16" t="s">
        <v>662</v>
      </c>
      <c r="L447" s="16"/>
      <c r="M447" s="16" t="str">
        <f>IF(L447="","",H447*L447)</f>
        <v>0</v>
      </c>
    </row>
    <row r="448" spans="1:13">
      <c r="A448" s="15" t="s">
        <v>1372</v>
      </c>
      <c r="B448" s="16" t="s">
        <v>1373</v>
      </c>
      <c r="C448" s="17"/>
      <c r="D448" s="16" t="s">
        <v>1312</v>
      </c>
      <c r="E448" s="16" t="s">
        <v>1374</v>
      </c>
      <c r="F448" s="16" t="s">
        <v>1350</v>
      </c>
      <c r="G448" s="18">
        <v>410</v>
      </c>
      <c r="H448" s="19" t="str">
        <f>ROUND((410/100*(100-M16)),0)</f>
        <v>0</v>
      </c>
      <c r="I448" s="14">
        <v>374</v>
      </c>
      <c r="J448" s="16" t="s">
        <v>1355</v>
      </c>
      <c r="K448" s="16" t="s">
        <v>662</v>
      </c>
      <c r="L448" s="16"/>
      <c r="M448" s="16" t="str">
        <f>IF(L448="","",H448*L448)</f>
        <v>0</v>
      </c>
    </row>
    <row r="449" spans="1:13">
      <c r="A449" s="15" t="s">
        <v>1375</v>
      </c>
      <c r="B449" s="16" t="s">
        <v>1376</v>
      </c>
      <c r="C449" s="17"/>
      <c r="D449" s="16" t="s">
        <v>1312</v>
      </c>
      <c r="E449" s="16" t="s">
        <v>1377</v>
      </c>
      <c r="F449" s="16" t="s">
        <v>1350</v>
      </c>
      <c r="G449" s="18">
        <v>434</v>
      </c>
      <c r="H449" s="19" t="str">
        <f>ROUND((434/100*(100-M16)),0)</f>
        <v>0</v>
      </c>
      <c r="I449" s="14">
        <v>176</v>
      </c>
      <c r="J449" s="16" t="s">
        <v>1355</v>
      </c>
      <c r="K449" s="16" t="s">
        <v>662</v>
      </c>
      <c r="L449" s="16"/>
      <c r="M449" s="16" t="str">
        <f>IF(L449="","",H449*L449)</f>
        <v>0</v>
      </c>
    </row>
    <row r="450" spans="1:13">
      <c r="A450" s="15" t="s">
        <v>1378</v>
      </c>
      <c r="B450" s="16" t="s">
        <v>1379</v>
      </c>
      <c r="C450" s="17"/>
      <c r="D450" s="16" t="s">
        <v>1312</v>
      </c>
      <c r="E450" s="16" t="s">
        <v>1380</v>
      </c>
      <c r="F450" s="16" t="s">
        <v>1350</v>
      </c>
      <c r="G450" s="18">
        <v>542</v>
      </c>
      <c r="H450" s="19" t="str">
        <f>ROUND((542/100*(100-M16)),0)</f>
        <v>0</v>
      </c>
      <c r="I450" s="14">
        <v>98</v>
      </c>
      <c r="J450" s="16" t="s">
        <v>1368</v>
      </c>
      <c r="K450" s="16" t="s">
        <v>662</v>
      </c>
      <c r="L450" s="16"/>
      <c r="M450" s="16" t="str">
        <f>IF(L450="","",H450*L450)</f>
        <v>0</v>
      </c>
    </row>
    <row r="451" spans="1:13">
      <c r="A451" s="15"/>
      <c r="B451" s="16"/>
      <c r="C451" s="17"/>
      <c r="D451" s="16"/>
      <c r="E451" s="16"/>
      <c r="F451" s="16"/>
      <c r="G451" s="18"/>
      <c r="H451" s="19"/>
      <c r="J451" s="16"/>
      <c r="K451" s="16"/>
      <c r="L451" s="16"/>
      <c r="M451" s="16"/>
    </row>
    <row r="452" spans="1:13">
      <c r="A452" s="1" t="s">
        <v>0</v>
      </c>
      <c r="B452" s="1" t="s">
        <v>1</v>
      </c>
      <c r="C452" s="1" t="s">
        <v>2</v>
      </c>
      <c r="D452" s="1" t="s">
        <v>3</v>
      </c>
      <c r="E452" s="1" t="s">
        <v>4</v>
      </c>
      <c r="F452" s="1" t="s">
        <v>5</v>
      </c>
      <c r="G452" s="1" t="s">
        <v>6</v>
      </c>
      <c r="H452" s="1" t="s">
        <v>7</v>
      </c>
      <c r="I452" s="2" t="s">
        <v>8</v>
      </c>
      <c r="J452" s="1" t="s">
        <v>9</v>
      </c>
      <c r="K452" s="1" t="s">
        <v>10</v>
      </c>
      <c r="L452" s="3" t="s">
        <v>11</v>
      </c>
      <c r="M452" s="1" t="s">
        <v>12</v>
      </c>
    </row>
    <row r="453" spans="1:13">
      <c r="A453" s="13" t="s">
        <v>1381</v>
      </c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>
      <c r="A454" s="15" t="s">
        <v>1382</v>
      </c>
      <c r="B454" s="16" t="s">
        <v>1383</v>
      </c>
      <c r="C454" s="17"/>
      <c r="D454" s="16" t="s">
        <v>1381</v>
      </c>
      <c r="E454" s="16" t="s">
        <v>1384</v>
      </c>
      <c r="F454" s="16" t="s">
        <v>34</v>
      </c>
      <c r="G454" s="18">
        <v>394</v>
      </c>
      <c r="H454" s="19" t="str">
        <f>ROUND((394/100*(100-M16)),0)</f>
        <v>0</v>
      </c>
      <c r="I454" s="14">
        <v>80</v>
      </c>
      <c r="J454" s="16" t="s">
        <v>1385</v>
      </c>
      <c r="K454" s="16" t="s">
        <v>36</v>
      </c>
      <c r="L454" s="16"/>
      <c r="M454" s="16" t="str">
        <f>IF(L454="","",H454*L454)</f>
        <v>0</v>
      </c>
    </row>
    <row r="455" spans="1:13">
      <c r="A455" s="15" t="s">
        <v>1386</v>
      </c>
      <c r="B455" s="16" t="s">
        <v>1387</v>
      </c>
      <c r="C455" s="17"/>
      <c r="D455" s="16" t="s">
        <v>1381</v>
      </c>
      <c r="E455" s="16" t="s">
        <v>1388</v>
      </c>
      <c r="F455" s="16" t="s">
        <v>34</v>
      </c>
      <c r="G455" s="18">
        <v>530</v>
      </c>
      <c r="H455" s="19" t="str">
        <f>ROUND((530/100*(100-M16)),0)</f>
        <v>0</v>
      </c>
      <c r="I455" s="14">
        <v>10</v>
      </c>
      <c r="J455" s="16" t="s">
        <v>1389</v>
      </c>
      <c r="K455" s="16" t="s">
        <v>36</v>
      </c>
      <c r="L455" s="16"/>
      <c r="M455" s="16" t="str">
        <f>IF(L455="","",H455*L455)</f>
        <v>0</v>
      </c>
    </row>
    <row r="456" spans="1:13">
      <c r="A456" s="15" t="s">
        <v>1390</v>
      </c>
      <c r="B456" s="20" t="s">
        <v>1391</v>
      </c>
      <c r="C456" s="17" t="s">
        <v>32</v>
      </c>
      <c r="D456" s="20" t="s">
        <v>1392</v>
      </c>
      <c r="E456" s="20" t="s">
        <v>1393</v>
      </c>
      <c r="F456" s="20" t="s">
        <v>34</v>
      </c>
      <c r="G456" s="18">
        <v>1304</v>
      </c>
      <c r="H456" s="19" t="str">
        <f>ROUND((1304/100*(100-M16)),0)</f>
        <v>0</v>
      </c>
      <c r="I456" s="14">
        <v>2</v>
      </c>
      <c r="J456" s="16" t="s">
        <v>1394</v>
      </c>
      <c r="K456" s="16" t="s">
        <v>662</v>
      </c>
      <c r="L456" s="16"/>
      <c r="M456" s="16" t="str">
        <f>IF(L456="","",H456*L456)</f>
        <v>0</v>
      </c>
    </row>
    <row r="457" spans="1:13">
      <c r="A457" s="15" t="s">
        <v>1395</v>
      </c>
      <c r="B457" s="20" t="s">
        <v>1396</v>
      </c>
      <c r="C457" s="17" t="s">
        <v>32</v>
      </c>
      <c r="D457" s="20" t="s">
        <v>1392</v>
      </c>
      <c r="E457" s="20" t="s">
        <v>1397</v>
      </c>
      <c r="F457" s="20" t="s">
        <v>34</v>
      </c>
      <c r="G457" s="18">
        <v>470</v>
      </c>
      <c r="H457" s="19" t="str">
        <f>ROUND((470/100*(100-M16)),0)</f>
        <v>0</v>
      </c>
      <c r="I457" s="14">
        <v>31</v>
      </c>
      <c r="J457" s="16" t="s">
        <v>1128</v>
      </c>
      <c r="K457" s="16" t="s">
        <v>36</v>
      </c>
      <c r="L457" s="16"/>
      <c r="M457" s="16" t="str">
        <f>IF(L457="","",H457*L457)</f>
        <v>0</v>
      </c>
    </row>
    <row r="458" spans="1:13">
      <c r="A458" s="15" t="s">
        <v>1398</v>
      </c>
      <c r="B458" s="16" t="s">
        <v>1399</v>
      </c>
      <c r="C458" s="17" t="s">
        <v>32</v>
      </c>
      <c r="D458" s="16" t="s">
        <v>1381</v>
      </c>
      <c r="E458" s="16" t="s">
        <v>1400</v>
      </c>
      <c r="F458" s="16" t="s">
        <v>34</v>
      </c>
      <c r="G458" s="18">
        <v>622</v>
      </c>
      <c r="H458" s="19" t="str">
        <f>ROUND((622/100*(100-M16)),0)</f>
        <v>0</v>
      </c>
      <c r="I458" s="14">
        <v>20</v>
      </c>
      <c r="J458" s="16" t="s">
        <v>1389</v>
      </c>
      <c r="K458" s="16" t="s">
        <v>36</v>
      </c>
      <c r="L458" s="16"/>
      <c r="M458" s="16" t="str">
        <f>IF(L458="","",H458*L458)</f>
        <v>0</v>
      </c>
    </row>
    <row r="459" spans="1:13">
      <c r="A459" s="15" t="s">
        <v>1401</v>
      </c>
      <c r="B459" s="20" t="s">
        <v>1402</v>
      </c>
      <c r="C459" s="17" t="s">
        <v>32</v>
      </c>
      <c r="D459" s="20" t="s">
        <v>1392</v>
      </c>
      <c r="E459" s="20" t="s">
        <v>1403</v>
      </c>
      <c r="F459" s="20" t="s">
        <v>34</v>
      </c>
      <c r="G459" s="18">
        <v>2068</v>
      </c>
      <c r="H459" s="19" t="str">
        <f>ROUND((2068/100*(100-M16)),0)</f>
        <v>0</v>
      </c>
      <c r="I459" s="14">
        <v>1</v>
      </c>
      <c r="J459" s="16" t="s">
        <v>1404</v>
      </c>
      <c r="K459" s="16" t="s">
        <v>662</v>
      </c>
      <c r="L459" s="16"/>
      <c r="M459" s="16" t="str">
        <f>IF(L459="","",H459*L459)</f>
        <v>0</v>
      </c>
    </row>
    <row r="460" spans="1:13">
      <c r="A460" s="15" t="s">
        <v>1405</v>
      </c>
      <c r="B460" s="20" t="s">
        <v>1406</v>
      </c>
      <c r="C460" s="17" t="s">
        <v>32</v>
      </c>
      <c r="D460" s="20" t="s">
        <v>1392</v>
      </c>
      <c r="E460" s="20" t="s">
        <v>1407</v>
      </c>
      <c r="F460" s="20" t="s">
        <v>34</v>
      </c>
      <c r="G460" s="18">
        <v>1399</v>
      </c>
      <c r="H460" s="19" t="str">
        <f>ROUND((1399/100*(100-M16)),0)</f>
        <v>0</v>
      </c>
      <c r="I460" s="14">
        <v>12</v>
      </c>
      <c r="J460" s="16" t="s">
        <v>1161</v>
      </c>
      <c r="K460" s="16" t="s">
        <v>36</v>
      </c>
      <c r="L460" s="16"/>
      <c r="M460" s="16" t="str">
        <f>IF(L460="","",H460*L460)</f>
        <v>0</v>
      </c>
    </row>
    <row r="461" spans="1:13">
      <c r="A461" s="15" t="s">
        <v>1408</v>
      </c>
      <c r="B461" s="16" t="s">
        <v>1409</v>
      </c>
      <c r="C461" s="17" t="s">
        <v>32</v>
      </c>
      <c r="D461" s="16" t="s">
        <v>1381</v>
      </c>
      <c r="E461" s="16" t="s">
        <v>1410</v>
      </c>
      <c r="F461" s="16" t="s">
        <v>34</v>
      </c>
      <c r="G461" s="18">
        <v>3140</v>
      </c>
      <c r="H461" s="19" t="str">
        <f>ROUND((3140/100*(100-M16)),0)</f>
        <v>0</v>
      </c>
      <c r="I461" s="14">
        <v>12</v>
      </c>
      <c r="J461" s="16" t="s">
        <v>1411</v>
      </c>
      <c r="K461" s="16" t="s">
        <v>36</v>
      </c>
      <c r="L461" s="16"/>
      <c r="M461" s="16" t="str">
        <f>IF(L461="","",H461*L461)</f>
        <v>0</v>
      </c>
    </row>
    <row r="462" spans="1:13">
      <c r="A462" s="15" t="s">
        <v>1412</v>
      </c>
      <c r="B462" s="20" t="s">
        <v>1413</v>
      </c>
      <c r="C462" s="17" t="s">
        <v>32</v>
      </c>
      <c r="D462" s="20" t="s">
        <v>1392</v>
      </c>
      <c r="E462" s="20" t="s">
        <v>1414</v>
      </c>
      <c r="F462" s="20" t="s">
        <v>34</v>
      </c>
      <c r="G462" s="18">
        <v>1845</v>
      </c>
      <c r="H462" s="19" t="str">
        <f>ROUND((1845/100*(100-M16)),0)</f>
        <v>0</v>
      </c>
      <c r="I462" s="14">
        <v>8</v>
      </c>
      <c r="J462" s="16" t="s">
        <v>1415</v>
      </c>
      <c r="K462" s="16" t="s">
        <v>36</v>
      </c>
      <c r="L462" s="16"/>
      <c r="M462" s="16" t="str">
        <f>IF(L462="","",H462*L462)</f>
        <v>0</v>
      </c>
    </row>
    <row r="463" spans="1:13">
      <c r="A463" s="15" t="s">
        <v>1416</v>
      </c>
      <c r="B463" s="16" t="s">
        <v>1417</v>
      </c>
      <c r="C463" s="17" t="s">
        <v>32</v>
      </c>
      <c r="D463" s="16" t="s">
        <v>1381</v>
      </c>
      <c r="E463" s="16" t="s">
        <v>1418</v>
      </c>
      <c r="F463" s="16" t="s">
        <v>34</v>
      </c>
      <c r="G463" s="18">
        <v>396</v>
      </c>
      <c r="H463" s="19" t="str">
        <f>ROUND((396/100*(100-M16)),0)</f>
        <v>0</v>
      </c>
      <c r="I463" s="14">
        <v>21</v>
      </c>
      <c r="J463" s="16" t="s">
        <v>1419</v>
      </c>
      <c r="K463" s="16" t="s">
        <v>662</v>
      </c>
      <c r="L463" s="16"/>
      <c r="M463" s="16" t="str">
        <f>IF(L463="","",H463*L463)</f>
        <v>0</v>
      </c>
    </row>
    <row r="464" spans="1:13">
      <c r="A464" s="15" t="s">
        <v>1420</v>
      </c>
      <c r="B464" s="16" t="s">
        <v>1421</v>
      </c>
      <c r="C464" s="17" t="s">
        <v>32</v>
      </c>
      <c r="D464" s="16" t="s">
        <v>1381</v>
      </c>
      <c r="E464" s="16" t="s">
        <v>1422</v>
      </c>
      <c r="F464" s="16" t="s">
        <v>34</v>
      </c>
      <c r="G464" s="18">
        <v>1944</v>
      </c>
      <c r="H464" s="19" t="str">
        <f>ROUND((1944/100*(100-M16)),0)</f>
        <v>0</v>
      </c>
      <c r="I464" s="14">
        <v>7</v>
      </c>
      <c r="J464" s="16" t="s">
        <v>1423</v>
      </c>
      <c r="K464" s="16" t="s">
        <v>662</v>
      </c>
      <c r="L464" s="16"/>
      <c r="M464" s="16" t="str">
        <f>IF(L464="","",H464*L464)</f>
        <v>0</v>
      </c>
    </row>
    <row r="465" spans="1:13">
      <c r="A465" s="15" t="s">
        <v>1424</v>
      </c>
      <c r="B465" s="16" t="s">
        <v>1425</v>
      </c>
      <c r="C465" s="17" t="s">
        <v>32</v>
      </c>
      <c r="D465" s="16" t="s">
        <v>1381</v>
      </c>
      <c r="E465" s="16" t="s">
        <v>1426</v>
      </c>
      <c r="F465" s="16" t="s">
        <v>34</v>
      </c>
      <c r="G465" s="18">
        <v>976</v>
      </c>
      <c r="H465" s="19" t="str">
        <f>ROUND((976/100*(100-M16)),0)</f>
        <v>0</v>
      </c>
      <c r="I465" s="14">
        <v>60</v>
      </c>
      <c r="J465" s="16" t="s">
        <v>1427</v>
      </c>
      <c r="K465" s="16" t="s">
        <v>662</v>
      </c>
      <c r="L465" s="16"/>
      <c r="M465" s="16" t="str">
        <f>IF(L465="","",H465*L465)</f>
        <v>0</v>
      </c>
    </row>
    <row r="466" spans="1:13">
      <c r="A466" s="15" t="s">
        <v>1428</v>
      </c>
      <c r="B466" s="16" t="s">
        <v>1429</v>
      </c>
      <c r="C466" s="17" t="s">
        <v>32</v>
      </c>
      <c r="D466" s="16" t="s">
        <v>1381</v>
      </c>
      <c r="E466" s="16" t="s">
        <v>1430</v>
      </c>
      <c r="F466" s="16" t="s">
        <v>34</v>
      </c>
      <c r="G466" s="18">
        <v>533</v>
      </c>
      <c r="H466" s="19" t="str">
        <f>ROUND((533/100*(100-M16)),0)</f>
        <v>0</v>
      </c>
      <c r="I466" s="14">
        <v>32</v>
      </c>
      <c r="J466" s="16" t="s">
        <v>691</v>
      </c>
      <c r="K466" s="16" t="s">
        <v>36</v>
      </c>
      <c r="L466" s="16"/>
      <c r="M466" s="16" t="str">
        <f>IF(L466="","",H466*L466)</f>
        <v>0</v>
      </c>
    </row>
    <row r="467" spans="1:13">
      <c r="A467" s="15" t="s">
        <v>1431</v>
      </c>
      <c r="B467" s="16" t="s">
        <v>1432</v>
      </c>
      <c r="C467" s="17" t="s">
        <v>32</v>
      </c>
      <c r="D467" s="16" t="s">
        <v>1381</v>
      </c>
      <c r="E467" s="16" t="s">
        <v>1433</v>
      </c>
      <c r="F467" s="16" t="s">
        <v>34</v>
      </c>
      <c r="G467" s="18">
        <v>533</v>
      </c>
      <c r="H467" s="19" t="str">
        <f>ROUND((533/100*(100-M16)),0)</f>
        <v>0</v>
      </c>
      <c r="I467" s="14">
        <v>27</v>
      </c>
      <c r="J467" s="16" t="s">
        <v>691</v>
      </c>
      <c r="K467" s="16" t="s">
        <v>36</v>
      </c>
      <c r="L467" s="16"/>
      <c r="M467" s="16" t="str">
        <f>IF(L467="","",H467*L467)</f>
        <v>0</v>
      </c>
    </row>
    <row r="468" spans="1:13">
      <c r="A468" s="15" t="s">
        <v>1434</v>
      </c>
      <c r="B468" s="20" t="s">
        <v>1435</v>
      </c>
      <c r="C468" s="17" t="s">
        <v>32</v>
      </c>
      <c r="D468" s="20" t="s">
        <v>1392</v>
      </c>
      <c r="E468" s="20" t="s">
        <v>1436</v>
      </c>
      <c r="F468" s="20" t="s">
        <v>34</v>
      </c>
      <c r="G468" s="18">
        <v>320</v>
      </c>
      <c r="H468" s="19" t="str">
        <f>ROUND((320/100*(100-M16)),0)</f>
        <v>0</v>
      </c>
      <c r="I468" s="14">
        <v>3</v>
      </c>
      <c r="J468" s="16" t="s">
        <v>691</v>
      </c>
      <c r="K468" s="16" t="s">
        <v>36</v>
      </c>
      <c r="L468" s="16"/>
      <c r="M468" s="16" t="str">
        <f>IF(L468="","",H468*L468)</f>
        <v>0</v>
      </c>
    </row>
    <row r="469" spans="1:13">
      <c r="A469" s="15" t="s">
        <v>1437</v>
      </c>
      <c r="B469" s="16" t="s">
        <v>1438</v>
      </c>
      <c r="C469" s="17" t="s">
        <v>32</v>
      </c>
      <c r="D469" s="16" t="s">
        <v>1381</v>
      </c>
      <c r="E469" s="16" t="s">
        <v>1439</v>
      </c>
      <c r="F469" s="16" t="s">
        <v>34</v>
      </c>
      <c r="G469" s="18">
        <v>1125</v>
      </c>
      <c r="H469" s="19" t="str">
        <f>ROUND((1125/100*(100-M16)),0)</f>
        <v>0</v>
      </c>
      <c r="I469" s="14">
        <v>29</v>
      </c>
      <c r="J469" s="16" t="s">
        <v>43</v>
      </c>
      <c r="K469" s="16" t="s">
        <v>36</v>
      </c>
      <c r="L469" s="16"/>
      <c r="M469" s="16" t="str">
        <f>IF(L469="","",H469*L469)</f>
        <v>0</v>
      </c>
    </row>
    <row r="470" spans="1:13">
      <c r="A470" s="15" t="s">
        <v>1440</v>
      </c>
      <c r="B470" s="16" t="s">
        <v>1441</v>
      </c>
      <c r="C470" s="17" t="s">
        <v>32</v>
      </c>
      <c r="D470" s="16" t="s">
        <v>1381</v>
      </c>
      <c r="E470" s="16" t="s">
        <v>1442</v>
      </c>
      <c r="F470" s="16" t="s">
        <v>34</v>
      </c>
      <c r="G470" s="18">
        <v>1330</v>
      </c>
      <c r="H470" s="19" t="str">
        <f>ROUND((1330/100*(100-M16)),0)</f>
        <v>0</v>
      </c>
      <c r="I470" s="14">
        <v>8</v>
      </c>
      <c r="J470" s="16" t="s">
        <v>43</v>
      </c>
      <c r="K470" s="16" t="s">
        <v>36</v>
      </c>
      <c r="L470" s="16"/>
      <c r="M470" s="16" t="str">
        <f>IF(L470="","",H470*L470)</f>
        <v>0</v>
      </c>
    </row>
    <row r="471" spans="1:13">
      <c r="A471" s="15" t="s">
        <v>1443</v>
      </c>
      <c r="B471" s="16" t="s">
        <v>1444</v>
      </c>
      <c r="C471" s="17" t="s">
        <v>32</v>
      </c>
      <c r="D471" s="16" t="s">
        <v>1381</v>
      </c>
      <c r="E471" s="16" t="s">
        <v>1445</v>
      </c>
      <c r="F471" s="16" t="s">
        <v>34</v>
      </c>
      <c r="G471" s="18">
        <v>390</v>
      </c>
      <c r="H471" s="19" t="str">
        <f>ROUND((390/100*(100-M16)),0)</f>
        <v>0</v>
      </c>
      <c r="I471" s="14">
        <v>113</v>
      </c>
      <c r="J471" s="16" t="s">
        <v>1446</v>
      </c>
      <c r="K471" s="16" t="s">
        <v>662</v>
      </c>
      <c r="L471" s="16"/>
      <c r="M471" s="16" t="str">
        <f>IF(L471="","",H471*L471)</f>
        <v>0</v>
      </c>
    </row>
    <row r="472" spans="1:13">
      <c r="A472" s="15" t="s">
        <v>1447</v>
      </c>
      <c r="B472" s="16" t="s">
        <v>1448</v>
      </c>
      <c r="C472" s="17" t="s">
        <v>32</v>
      </c>
      <c r="D472" s="16" t="s">
        <v>1381</v>
      </c>
      <c r="E472" s="16" t="s">
        <v>1449</v>
      </c>
      <c r="F472" s="16" t="s">
        <v>34</v>
      </c>
      <c r="G472" s="18">
        <v>450</v>
      </c>
      <c r="H472" s="19" t="str">
        <f>ROUND((450/100*(100-M16)),0)</f>
        <v>0</v>
      </c>
      <c r="I472" s="14">
        <v>498</v>
      </c>
      <c r="J472" s="16" t="s">
        <v>1450</v>
      </c>
      <c r="K472" s="16" t="s">
        <v>36</v>
      </c>
      <c r="L472" s="16"/>
      <c r="M472" s="16" t="str">
        <f>IF(L472="","",H472*L472)</f>
        <v>0</v>
      </c>
    </row>
    <row r="473" spans="1:13">
      <c r="A473" s="15" t="s">
        <v>1451</v>
      </c>
      <c r="B473" s="16" t="s">
        <v>1452</v>
      </c>
      <c r="C473" s="17" t="s">
        <v>32</v>
      </c>
      <c r="D473" s="16" t="s">
        <v>1381</v>
      </c>
      <c r="E473" s="16" t="s">
        <v>1453</v>
      </c>
      <c r="F473" s="16" t="s">
        <v>212</v>
      </c>
      <c r="G473" s="18">
        <v>234</v>
      </c>
      <c r="H473" s="19" t="str">
        <f>ROUND((234/100*(100-M16)),0)</f>
        <v>0</v>
      </c>
      <c r="I473" s="14">
        <v>274</v>
      </c>
      <c r="J473" s="16" t="s">
        <v>1454</v>
      </c>
      <c r="K473" s="16" t="s">
        <v>662</v>
      </c>
      <c r="L473" s="16"/>
      <c r="M473" s="16" t="str">
        <f>IF(L473="","",H473*L473)</f>
        <v>0</v>
      </c>
    </row>
    <row r="474" spans="1:13">
      <c r="A474" s="15" t="s">
        <v>1455</v>
      </c>
      <c r="B474" s="16" t="s">
        <v>1456</v>
      </c>
      <c r="C474" s="17" t="s">
        <v>32</v>
      </c>
      <c r="D474" s="16" t="s">
        <v>1381</v>
      </c>
      <c r="E474" s="16" t="s">
        <v>1457</v>
      </c>
      <c r="F474" s="16" t="s">
        <v>212</v>
      </c>
      <c r="G474" s="18">
        <v>273</v>
      </c>
      <c r="H474" s="19" t="str">
        <f>ROUND((273/100*(100-M16)),0)</f>
        <v>0</v>
      </c>
      <c r="I474" s="14">
        <v>131</v>
      </c>
      <c r="J474" s="16" t="s">
        <v>1446</v>
      </c>
      <c r="K474" s="16" t="s">
        <v>662</v>
      </c>
      <c r="L474" s="16"/>
      <c r="M474" s="16" t="str">
        <f>IF(L474="","",H474*L474)</f>
        <v>0</v>
      </c>
    </row>
    <row r="475" spans="1:13">
      <c r="A475" s="15" t="s">
        <v>1458</v>
      </c>
      <c r="B475" s="16" t="s">
        <v>1459</v>
      </c>
      <c r="C475" s="17" t="s">
        <v>32</v>
      </c>
      <c r="D475" s="16" t="s">
        <v>1381</v>
      </c>
      <c r="E475" s="16" t="s">
        <v>1460</v>
      </c>
      <c r="F475" s="16" t="s">
        <v>212</v>
      </c>
      <c r="G475" s="18">
        <v>273</v>
      </c>
      <c r="H475" s="19" t="str">
        <f>ROUND((273/100*(100-M16)),0)</f>
        <v>0</v>
      </c>
      <c r="I475" s="14">
        <v>14</v>
      </c>
      <c r="J475" s="16" t="s">
        <v>1446</v>
      </c>
      <c r="K475" s="16" t="s">
        <v>662</v>
      </c>
      <c r="L475" s="16"/>
      <c r="M475" s="16" t="str">
        <f>IF(L475="","",H475*L475)</f>
        <v>0</v>
      </c>
    </row>
    <row r="476" spans="1:13">
      <c r="A476" s="15" t="s">
        <v>1461</v>
      </c>
      <c r="B476" s="16" t="s">
        <v>1462</v>
      </c>
      <c r="C476" s="17" t="s">
        <v>32</v>
      </c>
      <c r="D476" s="16" t="s">
        <v>1381</v>
      </c>
      <c r="E476" s="16" t="s">
        <v>1463</v>
      </c>
      <c r="F476" s="16" t="s">
        <v>212</v>
      </c>
      <c r="G476" s="18">
        <v>625</v>
      </c>
      <c r="H476" s="19" t="str">
        <f>ROUND((625/100*(100-M16)),0)</f>
        <v>0</v>
      </c>
      <c r="I476" s="14">
        <v>30</v>
      </c>
      <c r="J476" s="16" t="s">
        <v>35</v>
      </c>
      <c r="K476" s="16" t="s">
        <v>36</v>
      </c>
      <c r="L476" s="16"/>
      <c r="M476" s="16" t="str">
        <f>IF(L476="","",H476*L476)</f>
        <v>0</v>
      </c>
    </row>
    <row r="477" spans="1:13">
      <c r="A477" s="15" t="s">
        <v>1464</v>
      </c>
      <c r="B477" s="16" t="s">
        <v>1465</v>
      </c>
      <c r="C477" s="17" t="s">
        <v>32</v>
      </c>
      <c r="D477" s="16" t="s">
        <v>1381</v>
      </c>
      <c r="E477" s="16" t="s">
        <v>1466</v>
      </c>
      <c r="F477" s="16" t="s">
        <v>212</v>
      </c>
      <c r="G477" s="18">
        <v>515</v>
      </c>
      <c r="H477" s="19" t="str">
        <f>ROUND((515/100*(100-M16)),0)</f>
        <v>0</v>
      </c>
      <c r="I477" s="14">
        <v>4</v>
      </c>
      <c r="J477" s="16" t="s">
        <v>1090</v>
      </c>
      <c r="K477" s="16" t="s">
        <v>36</v>
      </c>
      <c r="L477" s="16"/>
      <c r="M477" s="16" t="str">
        <f>IF(L477="","",H477*L477)</f>
        <v>0</v>
      </c>
    </row>
    <row r="478" spans="1:13">
      <c r="A478" s="15" t="s">
        <v>1467</v>
      </c>
      <c r="B478" s="16" t="s">
        <v>1468</v>
      </c>
      <c r="C478" s="17" t="s">
        <v>32</v>
      </c>
      <c r="D478" s="16" t="s">
        <v>1381</v>
      </c>
      <c r="E478" s="16" t="s">
        <v>1469</v>
      </c>
      <c r="F478" s="16" t="s">
        <v>212</v>
      </c>
      <c r="G478" s="18">
        <v>1800</v>
      </c>
      <c r="H478" s="19" t="str">
        <f>ROUND((1800/100*(100-M16)),0)</f>
        <v>0</v>
      </c>
      <c r="I478" s="14">
        <v>24</v>
      </c>
      <c r="J478" s="16" t="s">
        <v>1470</v>
      </c>
      <c r="K478" s="16" t="s">
        <v>662</v>
      </c>
      <c r="L478" s="16"/>
      <c r="M478" s="16" t="str">
        <f>IF(L478="","",H478*L478)</f>
        <v>0</v>
      </c>
    </row>
    <row r="479" spans="1:13">
      <c r="A479" s="15" t="s">
        <v>1471</v>
      </c>
      <c r="B479" s="16" t="s">
        <v>1472</v>
      </c>
      <c r="C479" s="17" t="s">
        <v>32</v>
      </c>
      <c r="D479" s="16" t="s">
        <v>1381</v>
      </c>
      <c r="E479" s="16" t="s">
        <v>1473</v>
      </c>
      <c r="F479" s="16" t="s">
        <v>212</v>
      </c>
      <c r="G479" s="18">
        <v>420</v>
      </c>
      <c r="H479" s="19" t="str">
        <f>ROUND((420/100*(100-M16)),0)</f>
        <v>0</v>
      </c>
      <c r="I479" s="14">
        <v>72</v>
      </c>
      <c r="J479" s="16" t="s">
        <v>1474</v>
      </c>
      <c r="K479" s="16" t="s">
        <v>36</v>
      </c>
      <c r="L479" s="16"/>
      <c r="M479" s="16" t="str">
        <f>IF(L479="","",H479*L479)</f>
        <v>0</v>
      </c>
    </row>
    <row r="480" spans="1:13">
      <c r="A480" s="15" t="s">
        <v>1475</v>
      </c>
      <c r="B480" s="16" t="s">
        <v>1476</v>
      </c>
      <c r="C480" s="17" t="s">
        <v>32</v>
      </c>
      <c r="D480" s="16" t="s">
        <v>1381</v>
      </c>
      <c r="E480" s="16" t="s">
        <v>1477</v>
      </c>
      <c r="F480" s="16" t="s">
        <v>212</v>
      </c>
      <c r="G480" s="18">
        <v>420</v>
      </c>
      <c r="H480" s="19" t="str">
        <f>ROUND((420/100*(100-M16)),0)</f>
        <v>0</v>
      </c>
      <c r="I480" s="14">
        <v>72</v>
      </c>
      <c r="J480" s="16" t="s">
        <v>1474</v>
      </c>
      <c r="K480" s="16" t="s">
        <v>36</v>
      </c>
      <c r="L480" s="16"/>
      <c r="M480" s="16" t="str">
        <f>IF(L480="","",H480*L480)</f>
        <v>0</v>
      </c>
    </row>
    <row r="481" spans="1:13">
      <c r="A481" s="15" t="s">
        <v>1478</v>
      </c>
      <c r="B481" s="16" t="s">
        <v>1479</v>
      </c>
      <c r="C481" s="17" t="s">
        <v>32</v>
      </c>
      <c r="D481" s="16" t="s">
        <v>1381</v>
      </c>
      <c r="E481" s="16" t="s">
        <v>1480</v>
      </c>
      <c r="F481" s="16" t="s">
        <v>212</v>
      </c>
      <c r="G481" s="18">
        <v>440</v>
      </c>
      <c r="H481" s="19" t="str">
        <f>ROUND((440/100*(100-M16)),0)</f>
        <v>0</v>
      </c>
      <c r="I481" s="14">
        <v>69</v>
      </c>
      <c r="J481" s="16" t="s">
        <v>1474</v>
      </c>
      <c r="K481" s="16" t="s">
        <v>36</v>
      </c>
      <c r="L481" s="16"/>
      <c r="M481" s="16" t="str">
        <f>IF(L481="","",H481*L481)</f>
        <v>0</v>
      </c>
    </row>
    <row r="482" spans="1:13">
      <c r="A482" s="15" t="s">
        <v>1481</v>
      </c>
      <c r="B482" s="16" t="s">
        <v>1482</v>
      </c>
      <c r="C482" s="17"/>
      <c r="D482" s="16" t="s">
        <v>1381</v>
      </c>
      <c r="E482" s="16" t="s">
        <v>1483</v>
      </c>
      <c r="F482" s="16" t="s">
        <v>212</v>
      </c>
      <c r="G482" s="18">
        <v>440</v>
      </c>
      <c r="H482" s="19" t="str">
        <f>ROUND((440/100*(100-M16)),0)</f>
        <v>0</v>
      </c>
      <c r="I482" s="14">
        <v>64</v>
      </c>
      <c r="J482" s="16" t="s">
        <v>1474</v>
      </c>
      <c r="K482" s="16" t="s">
        <v>36</v>
      </c>
      <c r="L482" s="16"/>
      <c r="M482" s="16" t="str">
        <f>IF(L482="","",H482*L482)</f>
        <v>0</v>
      </c>
    </row>
    <row r="483" spans="1:13">
      <c r="A483" s="15" t="s">
        <v>1484</v>
      </c>
      <c r="B483" s="16" t="s">
        <v>1485</v>
      </c>
      <c r="C483" s="17" t="s">
        <v>32</v>
      </c>
      <c r="D483" s="16" t="s">
        <v>1381</v>
      </c>
      <c r="E483" s="16" t="s">
        <v>1486</v>
      </c>
      <c r="F483" s="16" t="s">
        <v>212</v>
      </c>
      <c r="G483" s="18">
        <v>465</v>
      </c>
      <c r="H483" s="19" t="str">
        <f>ROUND((465/100*(100-M16)),0)</f>
        <v>0</v>
      </c>
      <c r="I483" s="14">
        <v>1</v>
      </c>
      <c r="J483" s="16" t="s">
        <v>1487</v>
      </c>
      <c r="K483" s="16" t="s">
        <v>36</v>
      </c>
      <c r="L483" s="16"/>
      <c r="M483" s="16" t="str">
        <f>IF(L483="","",H483*L483)</f>
        <v>0</v>
      </c>
    </row>
    <row r="484" spans="1:13">
      <c r="A484" s="15" t="s">
        <v>1488</v>
      </c>
      <c r="B484" s="16" t="s">
        <v>1489</v>
      </c>
      <c r="C484" s="17" t="s">
        <v>32</v>
      </c>
      <c r="D484" s="16" t="s">
        <v>1381</v>
      </c>
      <c r="E484" s="16" t="s">
        <v>1490</v>
      </c>
      <c r="F484" s="16" t="s">
        <v>212</v>
      </c>
      <c r="G484" s="18">
        <v>1050</v>
      </c>
      <c r="H484" s="19" t="str">
        <f>ROUND((1050/100*(100-M16)),0)</f>
        <v>0</v>
      </c>
      <c r="I484" s="14">
        <v>39</v>
      </c>
      <c r="J484" s="16" t="s">
        <v>1491</v>
      </c>
      <c r="K484" s="16" t="s">
        <v>36</v>
      </c>
      <c r="L484" s="16"/>
      <c r="M484" s="16" t="str">
        <f>IF(L484="","",H484*L484)</f>
        <v>0</v>
      </c>
    </row>
    <row r="485" spans="1:13">
      <c r="A485" s="15" t="s">
        <v>1492</v>
      </c>
      <c r="B485" s="16" t="s">
        <v>1493</v>
      </c>
      <c r="C485" s="17" t="s">
        <v>32</v>
      </c>
      <c r="D485" s="16" t="s">
        <v>1381</v>
      </c>
      <c r="E485" s="16" t="s">
        <v>1494</v>
      </c>
      <c r="F485" s="16" t="s">
        <v>212</v>
      </c>
      <c r="G485" s="18">
        <v>4100</v>
      </c>
      <c r="H485" s="19" t="str">
        <f>ROUND((4100/100*(100-M16)),0)</f>
        <v>0</v>
      </c>
      <c r="I485" s="14">
        <v>8</v>
      </c>
      <c r="J485" s="16" t="s">
        <v>1495</v>
      </c>
      <c r="K485" s="16" t="s">
        <v>662</v>
      </c>
      <c r="L485" s="16"/>
      <c r="M485" s="16" t="str">
        <f>IF(L485="","",H485*L485)</f>
        <v>0</v>
      </c>
    </row>
    <row r="486" spans="1:13">
      <c r="A486" s="15" t="s">
        <v>1496</v>
      </c>
      <c r="B486" s="16" t="s">
        <v>1497</v>
      </c>
      <c r="C486" s="17" t="s">
        <v>32</v>
      </c>
      <c r="D486" s="16" t="s">
        <v>1381</v>
      </c>
      <c r="E486" s="16" t="s">
        <v>1498</v>
      </c>
      <c r="F486" s="16" t="s">
        <v>212</v>
      </c>
      <c r="G486" s="18">
        <v>4100</v>
      </c>
      <c r="H486" s="19" t="str">
        <f>ROUND((4100/100*(100-M16)),0)</f>
        <v>0</v>
      </c>
      <c r="I486" s="14">
        <v>4</v>
      </c>
      <c r="J486" s="16" t="s">
        <v>1495</v>
      </c>
      <c r="K486" s="16" t="s">
        <v>662</v>
      </c>
      <c r="L486" s="16"/>
      <c r="M486" s="16" t="str">
        <f>IF(L486="","",H486*L486)</f>
        <v>0</v>
      </c>
    </row>
    <row r="487" spans="1:13">
      <c r="A487" s="15" t="s">
        <v>1499</v>
      </c>
      <c r="B487" s="16" t="s">
        <v>1500</v>
      </c>
      <c r="C487" s="17" t="s">
        <v>32</v>
      </c>
      <c r="D487" s="16" t="s">
        <v>1381</v>
      </c>
      <c r="E487" s="16" t="s">
        <v>1501</v>
      </c>
      <c r="F487" s="16" t="s">
        <v>212</v>
      </c>
      <c r="G487" s="18">
        <v>1600</v>
      </c>
      <c r="H487" s="19" t="str">
        <f>ROUND((1600/100*(100-M16)),0)</f>
        <v>0</v>
      </c>
      <c r="I487" s="14">
        <v>11</v>
      </c>
      <c r="J487" s="16" t="s">
        <v>1174</v>
      </c>
      <c r="K487" s="16" t="s">
        <v>36</v>
      </c>
      <c r="L487" s="16"/>
      <c r="M487" s="16" t="str">
        <f>IF(L487="","",H487*L487)</f>
        <v>0</v>
      </c>
    </row>
    <row r="488" spans="1:13">
      <c r="A488" s="15" t="s">
        <v>1502</v>
      </c>
      <c r="B488" s="16" t="s">
        <v>1503</v>
      </c>
      <c r="C488" s="17" t="s">
        <v>32</v>
      </c>
      <c r="D488" s="16" t="s">
        <v>1381</v>
      </c>
      <c r="E488" s="16" t="s">
        <v>1504</v>
      </c>
      <c r="F488" s="16" t="s">
        <v>212</v>
      </c>
      <c r="G488" s="18">
        <v>2850</v>
      </c>
      <c r="H488" s="19" t="str">
        <f>ROUND((2850/100*(100-M16)),0)</f>
        <v>0</v>
      </c>
      <c r="I488" s="14">
        <v>7</v>
      </c>
      <c r="J488" s="16" t="s">
        <v>47</v>
      </c>
      <c r="K488" s="16" t="s">
        <v>36</v>
      </c>
      <c r="L488" s="16"/>
      <c r="M488" s="16" t="str">
        <f>IF(L488="","",H488*L488)</f>
        <v>0</v>
      </c>
    </row>
    <row r="489" spans="1:13">
      <c r="A489" s="15" t="s">
        <v>1505</v>
      </c>
      <c r="B489" s="16" t="s">
        <v>1506</v>
      </c>
      <c r="C489" s="17" t="s">
        <v>32</v>
      </c>
      <c r="D489" s="16" t="s">
        <v>1381</v>
      </c>
      <c r="E489" s="16" t="s">
        <v>1507</v>
      </c>
      <c r="F489" s="16" t="s">
        <v>212</v>
      </c>
      <c r="G489" s="18">
        <v>1350</v>
      </c>
      <c r="H489" s="19" t="str">
        <f>ROUND((1350/100*(100-M16)),0)</f>
        <v>0</v>
      </c>
      <c r="I489" s="14">
        <v>24</v>
      </c>
      <c r="J489" s="16" t="s">
        <v>43</v>
      </c>
      <c r="K489" s="16" t="s">
        <v>36</v>
      </c>
      <c r="L489" s="16"/>
      <c r="M489" s="16" t="str">
        <f>IF(L489="","",H489*L489)</f>
        <v>0</v>
      </c>
    </row>
    <row r="490" spans="1:13">
      <c r="A490" s="15" t="s">
        <v>1508</v>
      </c>
      <c r="B490" s="16" t="s">
        <v>1509</v>
      </c>
      <c r="C490" s="17" t="s">
        <v>32</v>
      </c>
      <c r="D490" s="16" t="s">
        <v>1381</v>
      </c>
      <c r="E490" s="16" t="s">
        <v>1510</v>
      </c>
      <c r="F490" s="16" t="s">
        <v>212</v>
      </c>
      <c r="G490" s="18">
        <v>1150</v>
      </c>
      <c r="H490" s="19" t="str">
        <f>ROUND((1150/100*(100-M16)),0)</f>
        <v>0</v>
      </c>
      <c r="I490" s="14">
        <v>10</v>
      </c>
      <c r="J490" s="16" t="s">
        <v>644</v>
      </c>
      <c r="K490" s="16" t="s">
        <v>36</v>
      </c>
      <c r="L490" s="16"/>
      <c r="M490" s="16" t="str">
        <f>IF(L490="","",H490*L490)</f>
        <v>0</v>
      </c>
    </row>
    <row r="491" spans="1:13">
      <c r="A491" s="15" t="s">
        <v>1511</v>
      </c>
      <c r="B491" s="16" t="s">
        <v>1512</v>
      </c>
      <c r="C491" s="17" t="s">
        <v>32</v>
      </c>
      <c r="D491" s="16" t="s">
        <v>1381</v>
      </c>
      <c r="E491" s="16" t="s">
        <v>1513</v>
      </c>
      <c r="F491" s="16" t="s">
        <v>212</v>
      </c>
      <c r="G491" s="18">
        <v>2200</v>
      </c>
      <c r="H491" s="19" t="str">
        <f>ROUND((2200/100*(100-M16)),0)</f>
        <v>0</v>
      </c>
      <c r="I491" s="14">
        <v>19</v>
      </c>
      <c r="J491" s="16" t="s">
        <v>1174</v>
      </c>
      <c r="K491" s="16" t="s">
        <v>36</v>
      </c>
      <c r="L491" s="16"/>
      <c r="M491" s="16" t="str">
        <f>IF(L491="","",H491*L491)</f>
        <v>0</v>
      </c>
    </row>
    <row r="492" spans="1:13">
      <c r="A492" s="15" t="s">
        <v>1514</v>
      </c>
      <c r="B492" s="16" t="s">
        <v>1515</v>
      </c>
      <c r="C492" s="17" t="s">
        <v>32</v>
      </c>
      <c r="D492" s="16" t="s">
        <v>1381</v>
      </c>
      <c r="E492" s="16" t="s">
        <v>1516</v>
      </c>
      <c r="F492" s="16" t="s">
        <v>1517</v>
      </c>
      <c r="G492" s="18">
        <v>350</v>
      </c>
      <c r="H492" s="19" t="str">
        <f>ROUND((350/100*(100-M16)),0)</f>
        <v>0</v>
      </c>
      <c r="I492" s="14">
        <v>61</v>
      </c>
      <c r="J492" s="16" t="s">
        <v>1518</v>
      </c>
      <c r="K492" s="16" t="s">
        <v>36</v>
      </c>
      <c r="L492" s="16"/>
      <c r="M492" s="16" t="str">
        <f>IF(L492="","",H492*L492)</f>
        <v>0</v>
      </c>
    </row>
    <row r="493" spans="1:13">
      <c r="A493" s="15" t="s">
        <v>1519</v>
      </c>
      <c r="B493" s="16" t="s">
        <v>1520</v>
      </c>
      <c r="C493" s="17" t="s">
        <v>32</v>
      </c>
      <c r="D493" s="16" t="s">
        <v>1381</v>
      </c>
      <c r="E493" s="16" t="s">
        <v>1521</v>
      </c>
      <c r="F493" s="16" t="s">
        <v>1517</v>
      </c>
      <c r="G493" s="18">
        <v>520</v>
      </c>
      <c r="H493" s="19" t="str">
        <f>ROUND((520/100*(100-M16)),0)</f>
        <v>0</v>
      </c>
      <c r="I493" s="14">
        <v>1500</v>
      </c>
      <c r="J493" s="16" t="s">
        <v>947</v>
      </c>
      <c r="K493" s="16" t="s">
        <v>36</v>
      </c>
      <c r="L493" s="16"/>
      <c r="M493" s="16" t="str">
        <f>IF(L493="","",H493*L493)</f>
        <v>0</v>
      </c>
    </row>
    <row r="494" spans="1:13">
      <c r="A494" s="15" t="s">
        <v>1522</v>
      </c>
      <c r="B494" s="16" t="s">
        <v>1523</v>
      </c>
      <c r="C494" s="17" t="s">
        <v>32</v>
      </c>
      <c r="D494" s="16" t="s">
        <v>1381</v>
      </c>
      <c r="E494" s="16" t="s">
        <v>1524</v>
      </c>
      <c r="F494" s="16" t="s">
        <v>559</v>
      </c>
      <c r="G494" s="18">
        <v>2053</v>
      </c>
      <c r="H494" s="19" t="str">
        <f>ROUND((2053/100*(100-M16)),0)</f>
        <v>0</v>
      </c>
      <c r="I494" s="14">
        <v>21</v>
      </c>
      <c r="J494" s="16" t="s">
        <v>43</v>
      </c>
      <c r="K494" s="16" t="s">
        <v>36</v>
      </c>
      <c r="L494" s="16"/>
      <c r="M494" s="16" t="str">
        <f>IF(L494="","",H494*L494)</f>
        <v>0</v>
      </c>
    </row>
    <row r="495" spans="1:13">
      <c r="A495" s="15" t="s">
        <v>1525</v>
      </c>
      <c r="B495" s="16" t="s">
        <v>1526</v>
      </c>
      <c r="C495" s="17" t="s">
        <v>32</v>
      </c>
      <c r="D495" s="16" t="s">
        <v>1381</v>
      </c>
      <c r="E495" s="16" t="s">
        <v>1527</v>
      </c>
      <c r="F495" s="16" t="s">
        <v>559</v>
      </c>
      <c r="G495" s="18">
        <v>2573</v>
      </c>
      <c r="H495" s="19" t="str">
        <f>ROUND((2573/100*(100-M16)),0)</f>
        <v>0</v>
      </c>
      <c r="I495" s="14">
        <v>19</v>
      </c>
      <c r="J495" s="16" t="s">
        <v>58</v>
      </c>
      <c r="K495" s="16" t="s">
        <v>36</v>
      </c>
      <c r="L495" s="16"/>
      <c r="M495" s="16" t="str">
        <f>IF(L495="","",H495*L495)</f>
        <v>0</v>
      </c>
    </row>
    <row r="496" spans="1:13">
      <c r="A496" s="15" t="s">
        <v>1528</v>
      </c>
      <c r="B496" s="16" t="s">
        <v>1529</v>
      </c>
      <c r="C496" s="17" t="s">
        <v>32</v>
      </c>
      <c r="D496" s="16" t="s">
        <v>1381</v>
      </c>
      <c r="E496" s="16" t="s">
        <v>1530</v>
      </c>
      <c r="F496" s="16" t="s">
        <v>639</v>
      </c>
      <c r="G496" s="18">
        <v>94</v>
      </c>
      <c r="H496" s="19" t="str">
        <f>ROUND((94/100*(100-M16)),0)</f>
        <v>0</v>
      </c>
      <c r="I496" s="14">
        <v>2525</v>
      </c>
      <c r="J496" s="16" t="s">
        <v>1531</v>
      </c>
      <c r="K496" s="16" t="s">
        <v>36</v>
      </c>
      <c r="L496" s="16"/>
      <c r="M496" s="16" t="str">
        <f>IF(L496="","",H496*L496)</f>
        <v>0</v>
      </c>
    </row>
    <row r="497" spans="1:13">
      <c r="A497" s="15" t="s">
        <v>1532</v>
      </c>
      <c r="B497" s="16" t="s">
        <v>1533</v>
      </c>
      <c r="C497" s="17" t="s">
        <v>32</v>
      </c>
      <c r="D497" s="16" t="s">
        <v>1381</v>
      </c>
      <c r="E497" s="16" t="s">
        <v>1534</v>
      </c>
      <c r="F497" s="16" t="s">
        <v>639</v>
      </c>
      <c r="G497" s="18">
        <v>189</v>
      </c>
      <c r="H497" s="19" t="str">
        <f>ROUND((189/100*(100-M16)),0)</f>
        <v>0</v>
      </c>
      <c r="I497" s="14">
        <v>1412</v>
      </c>
      <c r="J497" s="16" t="s">
        <v>1535</v>
      </c>
      <c r="K497" s="16" t="s">
        <v>662</v>
      </c>
      <c r="L497" s="16"/>
      <c r="M497" s="16" t="str">
        <f>IF(L497="","",H497*L497)</f>
        <v>0</v>
      </c>
    </row>
    <row r="498" spans="1:13">
      <c r="A498" s="15" t="s">
        <v>1536</v>
      </c>
      <c r="B498" s="16" t="s">
        <v>1537</v>
      </c>
      <c r="C498" s="17" t="s">
        <v>32</v>
      </c>
      <c r="D498" s="16" t="s">
        <v>1381</v>
      </c>
      <c r="E498" s="16" t="s">
        <v>1538</v>
      </c>
      <c r="F498" s="16" t="s">
        <v>639</v>
      </c>
      <c r="G498" s="18">
        <v>206</v>
      </c>
      <c r="H498" s="19" t="str">
        <f>ROUND((206/100*(100-M16)),0)</f>
        <v>0</v>
      </c>
      <c r="I498" s="14">
        <v>469</v>
      </c>
      <c r="J498" s="16" t="s">
        <v>1539</v>
      </c>
      <c r="K498" s="16" t="s">
        <v>662</v>
      </c>
      <c r="L498" s="16"/>
      <c r="M498" s="16" t="str">
        <f>IF(L498="","",H498*L498)</f>
        <v>0</v>
      </c>
    </row>
    <row r="499" spans="1:13">
      <c r="A499" s="15" t="s">
        <v>1540</v>
      </c>
      <c r="B499" s="16" t="s">
        <v>1541</v>
      </c>
      <c r="C499" s="17"/>
      <c r="D499" s="16" t="s">
        <v>1381</v>
      </c>
      <c r="E499" s="16" t="s">
        <v>1542</v>
      </c>
      <c r="F499" s="16" t="s">
        <v>639</v>
      </c>
      <c r="G499" s="18">
        <v>181</v>
      </c>
      <c r="H499" s="19" t="str">
        <f>ROUND((181/100*(100-M16)),0)</f>
        <v>0</v>
      </c>
      <c r="I499" s="14">
        <v>120</v>
      </c>
      <c r="J499" s="16" t="s">
        <v>1535</v>
      </c>
      <c r="K499" s="16" t="s">
        <v>662</v>
      </c>
      <c r="L499" s="16"/>
      <c r="M499" s="16" t="str">
        <f>IF(L499="","",H499*L499)</f>
        <v>0</v>
      </c>
    </row>
    <row r="500" spans="1:13">
      <c r="A500" s="15" t="s">
        <v>1543</v>
      </c>
      <c r="B500" s="16" t="s">
        <v>1544</v>
      </c>
      <c r="C500" s="17"/>
      <c r="D500" s="16" t="s">
        <v>1381</v>
      </c>
      <c r="E500" s="16" t="s">
        <v>1545</v>
      </c>
      <c r="F500" s="16" t="s">
        <v>639</v>
      </c>
      <c r="G500" s="18">
        <v>101</v>
      </c>
      <c r="H500" s="19" t="str">
        <f>ROUND((101/100*(100-M16)),0)</f>
        <v>0</v>
      </c>
      <c r="I500" s="14">
        <v>80</v>
      </c>
      <c r="J500" s="16" t="s">
        <v>1546</v>
      </c>
      <c r="K500" s="16" t="s">
        <v>662</v>
      </c>
      <c r="L500" s="16"/>
      <c r="M500" s="16" t="str">
        <f>IF(L500="","",H500*L500)</f>
        <v>0</v>
      </c>
    </row>
    <row r="501" spans="1:13">
      <c r="A501" s="15" t="s">
        <v>1547</v>
      </c>
      <c r="B501" s="16" t="s">
        <v>1548</v>
      </c>
      <c r="C501" s="17"/>
      <c r="D501" s="16" t="s">
        <v>1381</v>
      </c>
      <c r="E501" s="16" t="s">
        <v>1549</v>
      </c>
      <c r="F501" s="16" t="s">
        <v>639</v>
      </c>
      <c r="G501" s="18">
        <v>249</v>
      </c>
      <c r="H501" s="19" t="str">
        <f>ROUND((249/100*(100-M16)),0)</f>
        <v>0</v>
      </c>
      <c r="I501" s="14">
        <v>76</v>
      </c>
      <c r="J501" s="16" t="s">
        <v>1550</v>
      </c>
      <c r="K501" s="16" t="s">
        <v>662</v>
      </c>
      <c r="L501" s="16"/>
      <c r="M501" s="16" t="str">
        <f>IF(L501="","",H501*L501)</f>
        <v>0</v>
      </c>
    </row>
    <row r="502" spans="1:13">
      <c r="A502" s="15" t="s">
        <v>1551</v>
      </c>
      <c r="B502" s="16" t="s">
        <v>1552</v>
      </c>
      <c r="C502" s="17" t="s">
        <v>32</v>
      </c>
      <c r="D502" s="16" t="s">
        <v>1381</v>
      </c>
      <c r="E502" s="16" t="s">
        <v>1553</v>
      </c>
      <c r="F502" s="16" t="s">
        <v>695</v>
      </c>
      <c r="G502" s="18">
        <v>300</v>
      </c>
      <c r="H502" s="19" t="str">
        <f>ROUND((300/100*(100-M16)),0)</f>
        <v>0</v>
      </c>
      <c r="I502" s="14">
        <v>122</v>
      </c>
      <c r="J502" s="16" t="s">
        <v>1554</v>
      </c>
      <c r="K502" s="16" t="s">
        <v>662</v>
      </c>
      <c r="L502" s="16"/>
      <c r="M502" s="16" t="str">
        <f>IF(L502="","",H502*L502)</f>
        <v>0</v>
      </c>
    </row>
    <row r="503" spans="1:13">
      <c r="A503" s="15"/>
      <c r="B503" s="16"/>
      <c r="C503" s="17"/>
      <c r="D503" s="16"/>
      <c r="E503" s="16"/>
      <c r="F503" s="16"/>
      <c r="G503" s="18"/>
      <c r="H503" s="19"/>
      <c r="J503" s="16"/>
      <c r="K503" s="16"/>
      <c r="L503" s="16"/>
      <c r="M503" s="16"/>
    </row>
    <row r="504" spans="1:13">
      <c r="A504" s="1" t="s">
        <v>0</v>
      </c>
      <c r="B504" s="1" t="s">
        <v>1</v>
      </c>
      <c r="C504" s="1" t="s">
        <v>2</v>
      </c>
      <c r="D504" s="1" t="s">
        <v>3</v>
      </c>
      <c r="E504" s="1" t="s">
        <v>4</v>
      </c>
      <c r="F504" s="1" t="s">
        <v>5</v>
      </c>
      <c r="G504" s="1" t="s">
        <v>6</v>
      </c>
      <c r="H504" s="1" t="s">
        <v>7</v>
      </c>
      <c r="I504" s="2" t="s">
        <v>8</v>
      </c>
      <c r="J504" s="1" t="s">
        <v>9</v>
      </c>
      <c r="K504" s="1" t="s">
        <v>10</v>
      </c>
      <c r="L504" s="3" t="s">
        <v>11</v>
      </c>
      <c r="M504" s="1" t="s">
        <v>12</v>
      </c>
    </row>
    <row r="505" spans="1:13">
      <c r="A505" s="13" t="s">
        <v>1555</v>
      </c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>
      <c r="A506" s="15" t="s">
        <v>1556</v>
      </c>
      <c r="B506" s="16" t="s">
        <v>1557</v>
      </c>
      <c r="C506" s="17" t="s">
        <v>32</v>
      </c>
      <c r="D506" s="16" t="s">
        <v>1555</v>
      </c>
      <c r="E506" s="16" t="s">
        <v>1558</v>
      </c>
      <c r="F506" s="16" t="s">
        <v>34</v>
      </c>
      <c r="G506" s="18">
        <v>2498</v>
      </c>
      <c r="H506" s="19" t="str">
        <f>ROUND((2498/100*(100-M16)),0)</f>
        <v>0</v>
      </c>
      <c r="I506" s="14">
        <v>19</v>
      </c>
      <c r="J506" s="16" t="s">
        <v>1559</v>
      </c>
      <c r="K506" s="16" t="s">
        <v>771</v>
      </c>
      <c r="L506" s="16"/>
      <c r="M506" s="16" t="str">
        <f>IF(L506="","",H506*L506)</f>
        <v>0</v>
      </c>
    </row>
    <row r="507" spans="1:13">
      <c r="A507" s="15" t="s">
        <v>1560</v>
      </c>
      <c r="B507" s="20" t="s">
        <v>1561</v>
      </c>
      <c r="C507" s="17" t="s">
        <v>32</v>
      </c>
      <c r="D507" s="20" t="s">
        <v>1562</v>
      </c>
      <c r="E507" s="20" t="s">
        <v>1563</v>
      </c>
      <c r="F507" s="20" t="s">
        <v>34</v>
      </c>
      <c r="G507" s="18">
        <v>2217</v>
      </c>
      <c r="H507" s="19" t="str">
        <f>ROUND((2217/100*(100-M16)),0)</f>
        <v>0</v>
      </c>
      <c r="I507" s="14">
        <v>7</v>
      </c>
      <c r="J507" s="16" t="s">
        <v>1073</v>
      </c>
      <c r="K507" s="16" t="s">
        <v>771</v>
      </c>
      <c r="L507" s="16"/>
      <c r="M507" s="16" t="str">
        <f>IF(L507="","",H507*L507)</f>
        <v>0</v>
      </c>
    </row>
    <row r="508" spans="1:13">
      <c r="A508" s="15" t="s">
        <v>1564</v>
      </c>
      <c r="B508" s="16" t="s">
        <v>1565</v>
      </c>
      <c r="C508" s="17" t="s">
        <v>32</v>
      </c>
      <c r="D508" s="16" t="s">
        <v>1555</v>
      </c>
      <c r="E508" s="16" t="s">
        <v>1566</v>
      </c>
      <c r="F508" s="16" t="s">
        <v>34</v>
      </c>
      <c r="G508" s="18">
        <v>750</v>
      </c>
      <c r="H508" s="19" t="str">
        <f>ROUND((750/100*(100-M16)),0)</f>
        <v>0</v>
      </c>
      <c r="I508" s="14">
        <v>16</v>
      </c>
      <c r="J508" s="16" t="s">
        <v>1567</v>
      </c>
      <c r="K508" s="16" t="s">
        <v>662</v>
      </c>
      <c r="L508" s="16"/>
      <c r="M508" s="16" t="str">
        <f>IF(L508="","",H508*L508)</f>
        <v>0</v>
      </c>
    </row>
    <row r="509" spans="1:13">
      <c r="A509" s="15" t="s">
        <v>1568</v>
      </c>
      <c r="B509" s="16" t="s">
        <v>1569</v>
      </c>
      <c r="C509" s="17" t="s">
        <v>32</v>
      </c>
      <c r="D509" s="16" t="s">
        <v>1555</v>
      </c>
      <c r="E509" s="16" t="s">
        <v>1570</v>
      </c>
      <c r="F509" s="16" t="s">
        <v>212</v>
      </c>
      <c r="G509" s="18">
        <v>419</v>
      </c>
      <c r="H509" s="19" t="str">
        <f>ROUND((419/100*(100-M16)),0)</f>
        <v>0</v>
      </c>
      <c r="I509" s="14">
        <v>71</v>
      </c>
      <c r="J509" s="16" t="s">
        <v>1567</v>
      </c>
      <c r="K509" s="16" t="s">
        <v>662</v>
      </c>
      <c r="L509" s="16"/>
      <c r="M509" s="16" t="str">
        <f>IF(L509="","",H509*L509)</f>
        <v>0</v>
      </c>
    </row>
    <row r="510" spans="1:13">
      <c r="A510" s="15" t="s">
        <v>1571</v>
      </c>
      <c r="B510" s="16" t="s">
        <v>1572</v>
      </c>
      <c r="C510" s="17" t="s">
        <v>32</v>
      </c>
      <c r="D510" s="16" t="s">
        <v>1555</v>
      </c>
      <c r="E510" s="16" t="s">
        <v>1573</v>
      </c>
      <c r="F510" s="16" t="s">
        <v>212</v>
      </c>
      <c r="G510" s="18">
        <v>1659</v>
      </c>
      <c r="H510" s="19" t="str">
        <f>ROUND((1659/100*(100-M16)),0)</f>
        <v>0</v>
      </c>
      <c r="I510" s="14">
        <v>7</v>
      </c>
      <c r="J510" s="16" t="s">
        <v>1368</v>
      </c>
      <c r="K510" s="16" t="s">
        <v>662</v>
      </c>
      <c r="L510" s="16"/>
      <c r="M510" s="16" t="str">
        <f>IF(L510="","",H510*L510)</f>
        <v>0</v>
      </c>
    </row>
    <row r="511" spans="1:13">
      <c r="A511" s="15" t="s">
        <v>1574</v>
      </c>
      <c r="B511" s="20" t="s">
        <v>1575</v>
      </c>
      <c r="C511" s="17"/>
      <c r="D511" s="20" t="s">
        <v>1562</v>
      </c>
      <c r="E511" s="20" t="s">
        <v>1576</v>
      </c>
      <c r="F511" s="20" t="s">
        <v>639</v>
      </c>
      <c r="G511" s="18">
        <v>1332</v>
      </c>
      <c r="H511" s="19" t="str">
        <f>ROUND((1332/100*(100-M16)),0)</f>
        <v>0</v>
      </c>
      <c r="I511" s="14">
        <v>10</v>
      </c>
      <c r="J511" s="16" t="s">
        <v>1073</v>
      </c>
      <c r="K511" s="16" t="s">
        <v>771</v>
      </c>
      <c r="L511" s="16"/>
      <c r="M511" s="16" t="str">
        <f>IF(L511="","",H511*L511)</f>
        <v>0</v>
      </c>
    </row>
    <row r="512" spans="1:13">
      <c r="A512" s="15" t="s">
        <v>1577</v>
      </c>
      <c r="B512" s="16" t="s">
        <v>1578</v>
      </c>
      <c r="C512" s="17" t="s">
        <v>32</v>
      </c>
      <c r="D512" s="16" t="s">
        <v>1555</v>
      </c>
      <c r="E512" s="16" t="s">
        <v>1579</v>
      </c>
      <c r="F512" s="16" t="s">
        <v>639</v>
      </c>
      <c r="G512" s="18">
        <v>3150</v>
      </c>
      <c r="H512" s="19" t="str">
        <f>ROUND((3150/100*(100-M16)),0)</f>
        <v>0</v>
      </c>
      <c r="I512" s="14">
        <v>7</v>
      </c>
      <c r="J512" s="16" t="s">
        <v>1580</v>
      </c>
      <c r="K512" s="16" t="s">
        <v>662</v>
      </c>
      <c r="L512" s="16"/>
      <c r="M512" s="16" t="str">
        <f>IF(L512="","",H512*L512)</f>
        <v>0</v>
      </c>
    </row>
    <row r="513" spans="1:13">
      <c r="A513" s="15" t="s">
        <v>1581</v>
      </c>
      <c r="B513" s="16" t="s">
        <v>1582</v>
      </c>
      <c r="C513" s="17" t="s">
        <v>32</v>
      </c>
      <c r="D513" s="16" t="s">
        <v>1555</v>
      </c>
      <c r="E513" s="16" t="s">
        <v>1583</v>
      </c>
      <c r="F513" s="16" t="s">
        <v>695</v>
      </c>
      <c r="G513" s="18">
        <v>1149</v>
      </c>
      <c r="H513" s="19" t="str">
        <f>ROUND((1149/100*(100-M16)),0)</f>
        <v>0</v>
      </c>
      <c r="I513" s="14">
        <v>32</v>
      </c>
      <c r="J513" s="16" t="s">
        <v>1073</v>
      </c>
      <c r="K513" s="16" t="s">
        <v>771</v>
      </c>
      <c r="L513" s="16"/>
      <c r="M513" s="16" t="str">
        <f>IF(L513="","",H513*L513)</f>
        <v>0</v>
      </c>
    </row>
    <row r="514" spans="1:13">
      <c r="A514" s="15"/>
      <c r="B514" s="16"/>
      <c r="C514" s="17"/>
      <c r="D514" s="16"/>
      <c r="E514" s="16"/>
      <c r="F514" s="16"/>
      <c r="G514" s="18"/>
      <c r="H514" s="19"/>
      <c r="J514" s="16"/>
      <c r="K514" s="16"/>
      <c r="L514" s="16"/>
      <c r="M514" s="16"/>
    </row>
    <row r="515" spans="1:13">
      <c r="A515" s="1" t="s">
        <v>0</v>
      </c>
      <c r="B515" s="1" t="s">
        <v>1</v>
      </c>
      <c r="C515" s="1" t="s">
        <v>2</v>
      </c>
      <c r="D515" s="1" t="s">
        <v>3</v>
      </c>
      <c r="E515" s="1" t="s">
        <v>4</v>
      </c>
      <c r="F515" s="1" t="s">
        <v>5</v>
      </c>
      <c r="G515" s="1" t="s">
        <v>6</v>
      </c>
      <c r="H515" s="1" t="s">
        <v>7</v>
      </c>
      <c r="I515" s="2" t="s">
        <v>8</v>
      </c>
      <c r="J515" s="1" t="s">
        <v>9</v>
      </c>
      <c r="K515" s="1" t="s">
        <v>10</v>
      </c>
      <c r="L515" s="3" t="s">
        <v>11</v>
      </c>
      <c r="M515" s="1" t="s">
        <v>12</v>
      </c>
    </row>
    <row r="516" spans="1:13">
      <c r="A516" s="13" t="s">
        <v>1584</v>
      </c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>
      <c r="A517" s="15" t="s">
        <v>1585</v>
      </c>
      <c r="B517" s="16" t="s">
        <v>1586</v>
      </c>
      <c r="C517" s="17" t="s">
        <v>32</v>
      </c>
      <c r="D517" s="16" t="s">
        <v>1584</v>
      </c>
      <c r="E517" s="16" t="s">
        <v>1587</v>
      </c>
      <c r="F517" s="16" t="s">
        <v>212</v>
      </c>
      <c r="G517" s="18">
        <v>1800</v>
      </c>
      <c r="H517" s="19" t="str">
        <f>ROUND((1800/100*(100-M16)),0)</f>
        <v>0</v>
      </c>
      <c r="I517" s="14">
        <v>10</v>
      </c>
      <c r="J517" s="16" t="s">
        <v>1588</v>
      </c>
      <c r="K517" s="16" t="s">
        <v>36</v>
      </c>
      <c r="L517" s="16"/>
      <c r="M517" s="16" t="str">
        <f>IF(L517="","",H517*L517)</f>
        <v>0</v>
      </c>
    </row>
    <row r="518" spans="1:13">
      <c r="A518" s="15" t="s">
        <v>1589</v>
      </c>
      <c r="B518" s="16" t="s">
        <v>1590</v>
      </c>
      <c r="C518" s="17" t="s">
        <v>32</v>
      </c>
      <c r="D518" s="16" t="s">
        <v>1584</v>
      </c>
      <c r="E518" s="16" t="s">
        <v>1591</v>
      </c>
      <c r="F518" s="16" t="s">
        <v>212</v>
      </c>
      <c r="G518" s="18">
        <v>3875</v>
      </c>
      <c r="H518" s="19" t="str">
        <f>ROUND((3875/100*(100-M16)),0)</f>
        <v>0</v>
      </c>
      <c r="I518" s="14">
        <v>3</v>
      </c>
      <c r="J518" s="16" t="s">
        <v>62</v>
      </c>
      <c r="K518" s="16" t="s">
        <v>36</v>
      </c>
      <c r="L518" s="16"/>
      <c r="M518" s="16" t="str">
        <f>IF(L518="","",H518*L518)</f>
        <v>0</v>
      </c>
    </row>
    <row r="519" spans="1:13">
      <c r="A519" s="15" t="s">
        <v>1592</v>
      </c>
      <c r="B519" s="16" t="s">
        <v>1593</v>
      </c>
      <c r="C519" s="17" t="s">
        <v>32</v>
      </c>
      <c r="D519" s="16" t="s">
        <v>1584</v>
      </c>
      <c r="E519" s="16" t="s">
        <v>1594</v>
      </c>
      <c r="F519" s="16" t="s">
        <v>1517</v>
      </c>
      <c r="G519" s="18">
        <v>3900</v>
      </c>
      <c r="H519" s="19" t="str">
        <f>ROUND((3900/100*(100-M16)),0)</f>
        <v>0</v>
      </c>
      <c r="I519" s="14">
        <v>9</v>
      </c>
      <c r="J519" s="16" t="s">
        <v>62</v>
      </c>
      <c r="K519" s="16" t="s">
        <v>36</v>
      </c>
      <c r="L519" s="16"/>
      <c r="M519" s="16" t="str">
        <f>IF(L519="","",H519*L519)</f>
        <v>0</v>
      </c>
    </row>
    <row r="520" spans="1:13">
      <c r="A520" s="15" t="s">
        <v>1595</v>
      </c>
      <c r="B520" s="16" t="s">
        <v>1596</v>
      </c>
      <c r="C520" s="17" t="s">
        <v>32</v>
      </c>
      <c r="D520" s="16" t="s">
        <v>1584</v>
      </c>
      <c r="E520" s="16" t="s">
        <v>1597</v>
      </c>
      <c r="F520" s="16" t="s">
        <v>639</v>
      </c>
      <c r="G520" s="18">
        <v>2300</v>
      </c>
      <c r="H520" s="19" t="str">
        <f>ROUND((2300/100*(100-M16)),0)</f>
        <v>0</v>
      </c>
      <c r="I520" s="14">
        <v>16</v>
      </c>
      <c r="J520" s="16" t="s">
        <v>1588</v>
      </c>
      <c r="K520" s="16" t="s">
        <v>36</v>
      </c>
      <c r="L520" s="16"/>
      <c r="M520" s="16" t="str">
        <f>IF(L520="","",H520*L520)</f>
        <v>0</v>
      </c>
    </row>
    <row r="521" spans="1:13">
      <c r="A521" s="15" t="s">
        <v>1598</v>
      </c>
      <c r="B521" s="16" t="s">
        <v>1599</v>
      </c>
      <c r="C521" s="17" t="s">
        <v>32</v>
      </c>
      <c r="D521" s="16" t="s">
        <v>1584</v>
      </c>
      <c r="E521" s="16" t="s">
        <v>1600</v>
      </c>
      <c r="F521" s="16" t="s">
        <v>639</v>
      </c>
      <c r="G521" s="18">
        <v>3800</v>
      </c>
      <c r="H521" s="19" t="str">
        <f>ROUND((3800/100*(100-M16)),0)</f>
        <v>0</v>
      </c>
      <c r="I521" s="14">
        <v>8</v>
      </c>
      <c r="J521" s="16" t="s">
        <v>62</v>
      </c>
      <c r="K521" s="16" t="s">
        <v>36</v>
      </c>
      <c r="L521" s="16"/>
      <c r="M521" s="16" t="str">
        <f>IF(L521="","",H521*L521)</f>
        <v>0</v>
      </c>
    </row>
    <row r="522" spans="1:13">
      <c r="A522" s="15"/>
      <c r="B522" s="16"/>
      <c r="C522" s="17"/>
      <c r="D522" s="16"/>
      <c r="E522" s="16"/>
      <c r="F522" s="16"/>
      <c r="G522" s="18"/>
      <c r="H522" s="19"/>
      <c r="J522" s="16"/>
      <c r="K522" s="16"/>
      <c r="L522" s="16"/>
      <c r="M522" s="16"/>
    </row>
    <row r="523" spans="1:13">
      <c r="A523" s="1" t="s">
        <v>0</v>
      </c>
      <c r="B523" s="1" t="s">
        <v>1</v>
      </c>
      <c r="C523" s="1" t="s">
        <v>2</v>
      </c>
      <c r="D523" s="1" t="s">
        <v>3</v>
      </c>
      <c r="E523" s="1" t="s">
        <v>4</v>
      </c>
      <c r="F523" s="1" t="s">
        <v>5</v>
      </c>
      <c r="G523" s="1" t="s">
        <v>6</v>
      </c>
      <c r="H523" s="1" t="s">
        <v>7</v>
      </c>
      <c r="I523" s="2" t="s">
        <v>8</v>
      </c>
      <c r="J523" s="1" t="s">
        <v>9</v>
      </c>
      <c r="K523" s="1" t="s">
        <v>10</v>
      </c>
      <c r="L523" s="3" t="s">
        <v>11</v>
      </c>
      <c r="M523" s="1" t="s">
        <v>12</v>
      </c>
    </row>
    <row r="524" spans="1:13">
      <c r="A524" s="13" t="s">
        <v>1601</v>
      </c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>
      <c r="A525" s="15" t="s">
        <v>1602</v>
      </c>
      <c r="B525" s="16" t="s">
        <v>1603</v>
      </c>
      <c r="C525" s="17"/>
      <c r="D525" s="16" t="s">
        <v>1601</v>
      </c>
      <c r="E525" s="16">
        <v>3536731</v>
      </c>
      <c r="F525" s="16" t="s">
        <v>1604</v>
      </c>
      <c r="G525" s="18">
        <v>150</v>
      </c>
      <c r="H525" s="19" t="str">
        <f>ROUND((150/100*(100-M16)),0)</f>
        <v>0</v>
      </c>
      <c r="I525" s="14">
        <v>50</v>
      </c>
      <c r="J525" s="16" t="s">
        <v>139</v>
      </c>
      <c r="K525" s="16" t="s">
        <v>36</v>
      </c>
      <c r="L525" s="16"/>
      <c r="M525" s="16" t="str">
        <f>IF(L525="","",H525*L525)</f>
        <v>0</v>
      </c>
    </row>
    <row r="526" spans="1:13">
      <c r="A526" s="15" t="s">
        <v>1605</v>
      </c>
      <c r="B526" s="16" t="s">
        <v>1606</v>
      </c>
      <c r="C526" s="17"/>
      <c r="D526" s="16" t="s">
        <v>1601</v>
      </c>
      <c r="E526" s="16" t="s">
        <v>1607</v>
      </c>
      <c r="F526" s="16" t="s">
        <v>1604</v>
      </c>
      <c r="G526" s="18">
        <v>175</v>
      </c>
      <c r="H526" s="19" t="str">
        <f>ROUND((175/100*(100-M16)),0)</f>
        <v>0</v>
      </c>
      <c r="I526" s="14">
        <v>8</v>
      </c>
      <c r="J526" s="16" t="s">
        <v>139</v>
      </c>
      <c r="K526" s="16" t="s">
        <v>36</v>
      </c>
      <c r="L526" s="16"/>
      <c r="M526" s="16" t="str">
        <f>IF(L526="","",H526*L526)</f>
        <v>0</v>
      </c>
    </row>
    <row r="527" spans="1:13">
      <c r="A527" s="15" t="s">
        <v>1608</v>
      </c>
      <c r="B527" s="16" t="s">
        <v>1609</v>
      </c>
      <c r="C527" s="17"/>
      <c r="D527" s="16" t="s">
        <v>1601</v>
      </c>
      <c r="E527" s="16">
        <v>3536740</v>
      </c>
      <c r="F527" s="16" t="s">
        <v>1604</v>
      </c>
      <c r="G527" s="18">
        <v>150</v>
      </c>
      <c r="H527" s="19" t="str">
        <f>ROUND((150/100*(100-M16)),0)</f>
        <v>0</v>
      </c>
      <c r="I527" s="14">
        <v>30</v>
      </c>
      <c r="J527" s="16" t="s">
        <v>139</v>
      </c>
      <c r="K527" s="16" t="s">
        <v>36</v>
      </c>
      <c r="L527" s="16"/>
      <c r="M527" s="16" t="str">
        <f>IF(L527="","",H527*L527)</f>
        <v>0</v>
      </c>
    </row>
    <row r="528" spans="1:13">
      <c r="A528" s="15" t="s">
        <v>1610</v>
      </c>
      <c r="B528" s="16" t="s">
        <v>1611</v>
      </c>
      <c r="C528" s="17"/>
      <c r="D528" s="16" t="s">
        <v>1601</v>
      </c>
      <c r="E528" s="16">
        <v>3536743</v>
      </c>
      <c r="F528" s="16" t="s">
        <v>1604</v>
      </c>
      <c r="G528" s="18">
        <v>175</v>
      </c>
      <c r="H528" s="19" t="str">
        <f>ROUND((175/100*(100-M16)),0)</f>
        <v>0</v>
      </c>
      <c r="I528" s="14">
        <v>5</v>
      </c>
      <c r="J528" s="16" t="s">
        <v>139</v>
      </c>
      <c r="K528" s="16" t="s">
        <v>36</v>
      </c>
      <c r="L528" s="16"/>
      <c r="M528" s="16" t="str">
        <f>IF(L528="","",H528*L528)</f>
        <v>0</v>
      </c>
    </row>
    <row r="529" spans="1:13">
      <c r="A529" s="15" t="s">
        <v>1612</v>
      </c>
      <c r="B529" s="16" t="s">
        <v>1613</v>
      </c>
      <c r="C529" s="17"/>
      <c r="D529" s="16" t="s">
        <v>1601</v>
      </c>
      <c r="E529" s="16" t="s">
        <v>1614</v>
      </c>
      <c r="F529" s="16" t="s">
        <v>1604</v>
      </c>
      <c r="G529" s="18">
        <v>150</v>
      </c>
      <c r="H529" s="19" t="str">
        <f>ROUND((150/100*(100-M16)),0)</f>
        <v>0</v>
      </c>
      <c r="I529" s="14">
        <v>8</v>
      </c>
      <c r="J529" s="16" t="s">
        <v>139</v>
      </c>
      <c r="K529" s="16" t="s">
        <v>36</v>
      </c>
      <c r="L529" s="16"/>
      <c r="M529" s="16" t="str">
        <f>IF(L529="","",H529*L529)</f>
        <v>0</v>
      </c>
    </row>
    <row r="530" spans="1:13">
      <c r="A530" s="15" t="s">
        <v>1615</v>
      </c>
      <c r="B530" s="16" t="s">
        <v>1616</v>
      </c>
      <c r="C530" s="17"/>
      <c r="D530" s="16" t="s">
        <v>1601</v>
      </c>
      <c r="E530" s="16" t="s">
        <v>1617</v>
      </c>
      <c r="F530" s="16" t="s">
        <v>1604</v>
      </c>
      <c r="G530" s="18">
        <v>150</v>
      </c>
      <c r="H530" s="19" t="str">
        <f>ROUND((150/100*(100-M16)),0)</f>
        <v>0</v>
      </c>
      <c r="I530" s="14">
        <v>77</v>
      </c>
      <c r="J530" s="16" t="s">
        <v>139</v>
      </c>
      <c r="K530" s="16" t="s">
        <v>36</v>
      </c>
      <c r="L530" s="16"/>
      <c r="M530" s="16" t="str">
        <f>IF(L530="","",H530*L530)</f>
        <v>0</v>
      </c>
    </row>
    <row r="531" spans="1:13">
      <c r="A531" s="15" t="s">
        <v>1618</v>
      </c>
      <c r="B531" s="16" t="s">
        <v>1619</v>
      </c>
      <c r="C531" s="17"/>
      <c r="D531" s="16" t="s">
        <v>1601</v>
      </c>
      <c r="E531" s="16" t="s">
        <v>1620</v>
      </c>
      <c r="F531" s="16" t="s">
        <v>1604</v>
      </c>
      <c r="G531" s="18">
        <v>175</v>
      </c>
      <c r="H531" s="19" t="str">
        <f>ROUND((175/100*(100-M16)),0)</f>
        <v>0</v>
      </c>
      <c r="I531" s="14">
        <v>9</v>
      </c>
      <c r="J531" s="16" t="s">
        <v>139</v>
      </c>
      <c r="K531" s="16" t="s">
        <v>36</v>
      </c>
      <c r="L531" s="16"/>
      <c r="M531" s="16" t="str">
        <f>IF(L531="","",H531*L531)</f>
        <v>0</v>
      </c>
    </row>
    <row r="532" spans="1:13">
      <c r="A532" s="15" t="s">
        <v>1621</v>
      </c>
      <c r="B532" s="16" t="s">
        <v>1622</v>
      </c>
      <c r="C532" s="17"/>
      <c r="D532" s="16" t="s">
        <v>1601</v>
      </c>
      <c r="E532" s="16" t="s">
        <v>1623</v>
      </c>
      <c r="F532" s="16" t="s">
        <v>1604</v>
      </c>
      <c r="G532" s="18">
        <v>174</v>
      </c>
      <c r="H532" s="19" t="str">
        <f>ROUND((174/100*(100-M16)),0)</f>
        <v>0</v>
      </c>
      <c r="I532" s="14">
        <v>28</v>
      </c>
      <c r="J532" s="16" t="s">
        <v>139</v>
      </c>
      <c r="K532" s="16" t="s">
        <v>36</v>
      </c>
      <c r="L532" s="16"/>
      <c r="M532" s="16" t="str">
        <f>IF(L532="","",H532*L532)</f>
        <v>0</v>
      </c>
    </row>
    <row r="533" spans="1:13">
      <c r="A533" s="15" t="s">
        <v>1624</v>
      </c>
      <c r="B533" s="16" t="s">
        <v>1625</v>
      </c>
      <c r="C533" s="17"/>
      <c r="D533" s="16" t="s">
        <v>1601</v>
      </c>
      <c r="E533" s="16" t="s">
        <v>1626</v>
      </c>
      <c r="F533" s="16" t="s">
        <v>1604</v>
      </c>
      <c r="G533" s="18">
        <v>174</v>
      </c>
      <c r="H533" s="19" t="str">
        <f>ROUND((174/100*(100-M16)),0)</f>
        <v>0</v>
      </c>
      <c r="I533" s="14">
        <v>4</v>
      </c>
      <c r="J533" s="16" t="s">
        <v>139</v>
      </c>
      <c r="K533" s="16" t="s">
        <v>36</v>
      </c>
      <c r="L533" s="16"/>
      <c r="M533" s="16" t="str">
        <f>IF(L533="","",H533*L533)</f>
        <v>0</v>
      </c>
    </row>
    <row r="534" spans="1:13">
      <c r="A534" s="15" t="s">
        <v>1627</v>
      </c>
      <c r="B534" s="16" t="s">
        <v>1628</v>
      </c>
      <c r="C534" s="17"/>
      <c r="D534" s="16" t="s">
        <v>1601</v>
      </c>
      <c r="E534" s="16" t="s">
        <v>1629</v>
      </c>
      <c r="F534" s="16" t="s">
        <v>1604</v>
      </c>
      <c r="G534" s="18">
        <v>175</v>
      </c>
      <c r="H534" s="19" t="str">
        <f>ROUND((175/100*(100-M16)),0)</f>
        <v>0</v>
      </c>
      <c r="I534" s="14">
        <v>2</v>
      </c>
      <c r="J534" s="16" t="s">
        <v>139</v>
      </c>
      <c r="K534" s="16" t="s">
        <v>36</v>
      </c>
      <c r="L534" s="16"/>
      <c r="M534" s="16" t="str">
        <f>IF(L534="","",H534*L534)</f>
        <v>0</v>
      </c>
    </row>
    <row r="535" spans="1:13">
      <c r="A535" s="15" t="s">
        <v>1630</v>
      </c>
      <c r="B535" s="16" t="s">
        <v>1631</v>
      </c>
      <c r="C535" s="17"/>
      <c r="D535" s="16" t="s">
        <v>1601</v>
      </c>
      <c r="E535" s="16" t="s">
        <v>1632</v>
      </c>
      <c r="F535" s="16" t="s">
        <v>1604</v>
      </c>
      <c r="G535" s="18">
        <v>150</v>
      </c>
      <c r="H535" s="19" t="str">
        <f>ROUND((150/100*(100-M16)),0)</f>
        <v>0</v>
      </c>
      <c r="I535" s="14">
        <v>29</v>
      </c>
      <c r="J535" s="16" t="s">
        <v>139</v>
      </c>
      <c r="K535" s="16" t="s">
        <v>36</v>
      </c>
      <c r="L535" s="16"/>
      <c r="M535" s="16" t="str">
        <f>IF(L535="","",H535*L535)</f>
        <v>0</v>
      </c>
    </row>
    <row r="536" spans="1:13">
      <c r="A536" s="15" t="s">
        <v>1633</v>
      </c>
      <c r="B536" s="16" t="s">
        <v>1634</v>
      </c>
      <c r="C536" s="17"/>
      <c r="D536" s="16" t="s">
        <v>1601</v>
      </c>
      <c r="E536" s="16" t="s">
        <v>1635</v>
      </c>
      <c r="F536" s="16" t="s">
        <v>1604</v>
      </c>
      <c r="G536" s="18">
        <v>175</v>
      </c>
      <c r="H536" s="19" t="str">
        <f>ROUND((175/100*(100-M16)),0)</f>
        <v>0</v>
      </c>
      <c r="I536" s="14">
        <v>62</v>
      </c>
      <c r="J536" s="16" t="s">
        <v>139</v>
      </c>
      <c r="K536" s="16" t="s">
        <v>36</v>
      </c>
      <c r="L536" s="16"/>
      <c r="M536" s="16" t="str">
        <f>IF(L536="","",H536*L536)</f>
        <v>0</v>
      </c>
    </row>
    <row r="537" spans="1:13">
      <c r="A537" s="15" t="s">
        <v>1636</v>
      </c>
      <c r="B537" s="16" t="s">
        <v>1637</v>
      </c>
      <c r="C537" s="17"/>
      <c r="D537" s="16" t="s">
        <v>1601</v>
      </c>
      <c r="E537" s="16" t="s">
        <v>1638</v>
      </c>
      <c r="F537" s="16" t="s">
        <v>1604</v>
      </c>
      <c r="G537" s="18">
        <v>174</v>
      </c>
      <c r="H537" s="19" t="str">
        <f>ROUND((174/100*(100-M16)),0)</f>
        <v>0</v>
      </c>
      <c r="I537" s="14">
        <v>1</v>
      </c>
      <c r="J537" s="16" t="s">
        <v>139</v>
      </c>
      <c r="K537" s="16" t="s">
        <v>36</v>
      </c>
      <c r="L537" s="16"/>
      <c r="M537" s="16" t="str">
        <f>IF(L537="","",H537*L537)</f>
        <v>0</v>
      </c>
    </row>
    <row r="538" spans="1:13">
      <c r="A538" s="15" t="s">
        <v>1639</v>
      </c>
      <c r="B538" s="16" t="s">
        <v>1640</v>
      </c>
      <c r="C538" s="17"/>
      <c r="D538" s="16" t="s">
        <v>1601</v>
      </c>
      <c r="E538" s="16" t="s">
        <v>1641</v>
      </c>
      <c r="F538" s="16" t="s">
        <v>1604</v>
      </c>
      <c r="G538" s="18">
        <v>174</v>
      </c>
      <c r="H538" s="19" t="str">
        <f>ROUND((174/100*(100-M16)),0)</f>
        <v>0</v>
      </c>
      <c r="I538" s="14">
        <v>1</v>
      </c>
      <c r="J538" s="16" t="s">
        <v>139</v>
      </c>
      <c r="K538" s="16" t="s">
        <v>36</v>
      </c>
      <c r="L538" s="16"/>
      <c r="M538" s="16" t="str">
        <f>IF(L538="","",H538*L538)</f>
        <v>0</v>
      </c>
    </row>
    <row r="539" spans="1:13">
      <c r="A539" s="15" t="s">
        <v>1642</v>
      </c>
      <c r="B539" s="16" t="s">
        <v>1643</v>
      </c>
      <c r="C539" s="17"/>
      <c r="D539" s="16" t="s">
        <v>1601</v>
      </c>
      <c r="E539" s="16" t="s">
        <v>1644</v>
      </c>
      <c r="F539" s="16" t="s">
        <v>1604</v>
      </c>
      <c r="G539" s="18">
        <v>174</v>
      </c>
      <c r="H539" s="19" t="str">
        <f>ROUND((174/100*(100-M16)),0)</f>
        <v>0</v>
      </c>
      <c r="I539" s="14">
        <v>43</v>
      </c>
      <c r="J539" s="16" t="s">
        <v>139</v>
      </c>
      <c r="K539" s="16" t="s">
        <v>36</v>
      </c>
      <c r="L539" s="16"/>
      <c r="M539" s="16" t="str">
        <f>IF(L539="","",H539*L539)</f>
        <v>0</v>
      </c>
    </row>
    <row r="540" spans="1:13">
      <c r="A540" s="15" t="s">
        <v>1645</v>
      </c>
      <c r="B540" s="16" t="s">
        <v>1646</v>
      </c>
      <c r="C540" s="17"/>
      <c r="D540" s="16" t="s">
        <v>1601</v>
      </c>
      <c r="E540" s="16" t="s">
        <v>1647</v>
      </c>
      <c r="F540" s="16" t="s">
        <v>1604</v>
      </c>
      <c r="G540" s="18">
        <v>174</v>
      </c>
      <c r="H540" s="19" t="str">
        <f>ROUND((174/100*(100-M16)),0)</f>
        <v>0</v>
      </c>
      <c r="I540" s="14">
        <v>3</v>
      </c>
      <c r="J540" s="16" t="s">
        <v>139</v>
      </c>
      <c r="K540" s="16" t="s">
        <v>36</v>
      </c>
      <c r="L540" s="16"/>
      <c r="M540" s="16" t="str">
        <f>IF(L540="","",H540*L540)</f>
        <v>0</v>
      </c>
    </row>
    <row r="541" spans="1:13">
      <c r="A541" s="15" t="s">
        <v>1648</v>
      </c>
      <c r="B541" s="16" t="s">
        <v>1649</v>
      </c>
      <c r="C541" s="17"/>
      <c r="D541" s="16" t="s">
        <v>1601</v>
      </c>
      <c r="E541" s="16" t="s">
        <v>1650</v>
      </c>
      <c r="F541" s="16" t="s">
        <v>1604</v>
      </c>
      <c r="G541" s="18">
        <v>174</v>
      </c>
      <c r="H541" s="19" t="str">
        <f>ROUND((174/100*(100-M16)),0)</f>
        <v>0</v>
      </c>
      <c r="I541" s="14">
        <v>1</v>
      </c>
      <c r="J541" s="16" t="s">
        <v>139</v>
      </c>
      <c r="K541" s="16" t="s">
        <v>36</v>
      </c>
      <c r="L541" s="16"/>
      <c r="M541" s="16" t="str">
        <f>IF(L541="","",H541*L541)</f>
        <v>0</v>
      </c>
    </row>
    <row r="542" spans="1:13">
      <c r="A542" s="15" t="s">
        <v>1651</v>
      </c>
      <c r="B542" s="16" t="s">
        <v>1652</v>
      </c>
      <c r="C542" s="17"/>
      <c r="D542" s="16" t="s">
        <v>1601</v>
      </c>
      <c r="E542" s="16">
        <v>4612441</v>
      </c>
      <c r="F542" s="16" t="s">
        <v>1604</v>
      </c>
      <c r="G542" s="18">
        <v>185</v>
      </c>
      <c r="H542" s="19" t="str">
        <f>ROUND((185/100*(100-M16)),0)</f>
        <v>0</v>
      </c>
      <c r="I542" s="14">
        <v>24</v>
      </c>
      <c r="J542" s="16" t="s">
        <v>139</v>
      </c>
      <c r="K542" s="16" t="s">
        <v>36</v>
      </c>
      <c r="L542" s="16"/>
      <c r="M542" s="16" t="str">
        <f>IF(L542="","",H542*L542)</f>
        <v>0</v>
      </c>
    </row>
    <row r="543" spans="1:13">
      <c r="A543" s="15" t="s">
        <v>1653</v>
      </c>
      <c r="B543" s="16" t="s">
        <v>1654</v>
      </c>
      <c r="C543" s="17"/>
      <c r="D543" s="16" t="s">
        <v>1601</v>
      </c>
      <c r="E543" s="16">
        <v>5798252</v>
      </c>
      <c r="F543" s="16" t="s">
        <v>1604</v>
      </c>
      <c r="G543" s="18">
        <v>150</v>
      </c>
      <c r="H543" s="19" t="str">
        <f>ROUND((150/100*(100-M16)),0)</f>
        <v>0</v>
      </c>
      <c r="I543" s="14">
        <v>31</v>
      </c>
      <c r="J543" s="16" t="s">
        <v>139</v>
      </c>
      <c r="K543" s="16" t="s">
        <v>36</v>
      </c>
      <c r="L543" s="16"/>
      <c r="M543" s="16" t="str">
        <f>IF(L543="","",H543*L543)</f>
        <v>0</v>
      </c>
    </row>
    <row r="544" spans="1:13">
      <c r="A544" s="15" t="s">
        <v>1655</v>
      </c>
      <c r="B544" s="16" t="s">
        <v>1656</v>
      </c>
      <c r="C544" s="17"/>
      <c r="D544" s="16" t="s">
        <v>1601</v>
      </c>
      <c r="E544" s="16">
        <v>5798254</v>
      </c>
      <c r="F544" s="16" t="s">
        <v>1604</v>
      </c>
      <c r="G544" s="18">
        <v>240</v>
      </c>
      <c r="H544" s="19" t="str">
        <f>ROUND((240/100*(100-M16)),0)</f>
        <v>0</v>
      </c>
      <c r="I544" s="14">
        <v>12</v>
      </c>
      <c r="J544" s="16" t="s">
        <v>139</v>
      </c>
      <c r="K544" s="16" t="s">
        <v>36</v>
      </c>
      <c r="L544" s="16"/>
      <c r="M544" s="16" t="str">
        <f>IF(L544="","",H544*L544)</f>
        <v>0</v>
      </c>
    </row>
    <row r="545" spans="1:13">
      <c r="A545" s="15" t="s">
        <v>1657</v>
      </c>
      <c r="B545" s="16" t="s">
        <v>1658</v>
      </c>
      <c r="C545" s="17"/>
      <c r="D545" s="16" t="s">
        <v>1601</v>
      </c>
      <c r="E545" s="16">
        <v>5798259</v>
      </c>
      <c r="F545" s="16" t="s">
        <v>1604</v>
      </c>
      <c r="G545" s="18">
        <v>150</v>
      </c>
      <c r="H545" s="19" t="str">
        <f>ROUND((150/100*(100-M16)),0)</f>
        <v>0</v>
      </c>
      <c r="I545" s="14">
        <v>68</v>
      </c>
      <c r="J545" s="16" t="s">
        <v>139</v>
      </c>
      <c r="K545" s="16" t="s">
        <v>36</v>
      </c>
      <c r="L545" s="16"/>
      <c r="M545" s="16" t="str">
        <f>IF(L545="","",H545*L545)</f>
        <v>0</v>
      </c>
    </row>
    <row r="546" spans="1:13">
      <c r="A546" s="15" t="s">
        <v>1659</v>
      </c>
      <c r="B546" s="16" t="s">
        <v>1660</v>
      </c>
      <c r="C546" s="17"/>
      <c r="D546" s="16" t="s">
        <v>1601</v>
      </c>
      <c r="E546" s="16">
        <v>7877141</v>
      </c>
      <c r="F546" s="16" t="s">
        <v>1604</v>
      </c>
      <c r="G546" s="18">
        <v>150</v>
      </c>
      <c r="H546" s="19" t="str">
        <f>ROUND((150/100*(100-M16)),0)</f>
        <v>0</v>
      </c>
      <c r="I546" s="14">
        <v>41</v>
      </c>
      <c r="J546" s="16" t="s">
        <v>139</v>
      </c>
      <c r="K546" s="16" t="s">
        <v>36</v>
      </c>
      <c r="L546" s="16"/>
      <c r="M546" s="16" t="str">
        <f>IF(L546="","",H546*L546)</f>
        <v>0</v>
      </c>
    </row>
    <row r="547" spans="1:13">
      <c r="A547" s="15"/>
      <c r="B547" s="16"/>
      <c r="C547" s="17"/>
      <c r="D547" s="16"/>
      <c r="E547" s="16"/>
      <c r="F547" s="16"/>
      <c r="G547" s="18"/>
      <c r="H547" s="19"/>
      <c r="J547" s="16"/>
      <c r="K547" s="16"/>
      <c r="L547" s="16"/>
      <c r="M547" s="16"/>
    </row>
    <row r="548" spans="1:13">
      <c r="A548" s="1" t="s">
        <v>0</v>
      </c>
      <c r="B548" s="1" t="s">
        <v>1</v>
      </c>
      <c r="C548" s="1" t="s">
        <v>2</v>
      </c>
      <c r="D548" s="1" t="s">
        <v>3</v>
      </c>
      <c r="E548" s="1" t="s">
        <v>4</v>
      </c>
      <c r="F548" s="1" t="s">
        <v>5</v>
      </c>
      <c r="G548" s="1" t="s">
        <v>6</v>
      </c>
      <c r="H548" s="1" t="s">
        <v>7</v>
      </c>
      <c r="I548" s="2" t="s">
        <v>8</v>
      </c>
      <c r="J548" s="1" t="s">
        <v>9</v>
      </c>
      <c r="K548" s="1" t="s">
        <v>10</v>
      </c>
      <c r="L548" s="3" t="s">
        <v>11</v>
      </c>
      <c r="M548" s="1" t="s">
        <v>12</v>
      </c>
    </row>
    <row r="549" spans="1:13">
      <c r="A549" s="13" t="s">
        <v>1661</v>
      </c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>
      <c r="A550" s="15" t="s">
        <v>1662</v>
      </c>
      <c r="B550" s="16" t="s">
        <v>1663</v>
      </c>
      <c r="C550" s="17"/>
      <c r="D550" s="16" t="s">
        <v>1661</v>
      </c>
      <c r="E550" s="16" t="s">
        <v>1664</v>
      </c>
      <c r="F550" s="16" t="s">
        <v>1665</v>
      </c>
      <c r="G550" s="18">
        <v>634</v>
      </c>
      <c r="H550" s="19" t="str">
        <f>ROUND((634/100*(100-M16)),0)</f>
        <v>0</v>
      </c>
      <c r="I550" s="14">
        <v>2</v>
      </c>
      <c r="J550" s="16" t="s">
        <v>139</v>
      </c>
      <c r="K550" s="16" t="s">
        <v>36</v>
      </c>
      <c r="L550" s="16"/>
      <c r="M550" s="16" t="str">
        <f>IF(L550="","",H550*L550)</f>
        <v>0</v>
      </c>
    </row>
    <row r="551" spans="1:13">
      <c r="A551" s="15" t="s">
        <v>1666</v>
      </c>
      <c r="B551" s="16" t="s">
        <v>1667</v>
      </c>
      <c r="C551" s="17"/>
      <c r="D551" s="16" t="s">
        <v>1661</v>
      </c>
      <c r="E551" s="16" t="s">
        <v>1668</v>
      </c>
      <c r="F551" s="16" t="s">
        <v>1665</v>
      </c>
      <c r="G551" s="18">
        <v>1200</v>
      </c>
      <c r="H551" s="19" t="str">
        <f>ROUND((1200/100*(100-M16)),0)</f>
        <v>0</v>
      </c>
      <c r="I551" s="14">
        <v>1</v>
      </c>
      <c r="J551" s="16" t="s">
        <v>139</v>
      </c>
      <c r="K551" s="16" t="s">
        <v>36</v>
      </c>
      <c r="L551" s="16"/>
      <c r="M551" s="16" t="str">
        <f>IF(L551="","",H551*L551)</f>
        <v>0</v>
      </c>
    </row>
    <row r="552" spans="1:13">
      <c r="A552" s="15" t="s">
        <v>1669</v>
      </c>
      <c r="B552" s="16" t="s">
        <v>1670</v>
      </c>
      <c r="C552" s="17"/>
      <c r="D552" s="16" t="s">
        <v>1661</v>
      </c>
      <c r="E552" s="16">
        <v>1363047</v>
      </c>
      <c r="F552" s="16" t="s">
        <v>1604</v>
      </c>
      <c r="G552" s="18">
        <v>50</v>
      </c>
      <c r="H552" s="19" t="str">
        <f>ROUND((50/100*(100-M16)),0)</f>
        <v>0</v>
      </c>
      <c r="I552" s="14">
        <v>1</v>
      </c>
      <c r="J552" s="16" t="s">
        <v>1671</v>
      </c>
      <c r="K552" s="16" t="s">
        <v>36</v>
      </c>
      <c r="L552" s="16"/>
      <c r="M552" s="16" t="str">
        <f>IF(L552="","",H552*L552)</f>
        <v>0</v>
      </c>
    </row>
    <row r="553" spans="1:13">
      <c r="A553" s="15" t="s">
        <v>1672</v>
      </c>
      <c r="B553" s="16" t="s">
        <v>1673</v>
      </c>
      <c r="C553" s="17"/>
      <c r="D553" s="16" t="s">
        <v>1661</v>
      </c>
      <c r="E553" s="16">
        <v>1411294</v>
      </c>
      <c r="F553" s="16" t="s">
        <v>1604</v>
      </c>
      <c r="G553" s="18">
        <v>78</v>
      </c>
      <c r="H553" s="19" t="str">
        <f>ROUND((78/100*(100-M16)),0)</f>
        <v>0</v>
      </c>
      <c r="I553" s="14">
        <v>4</v>
      </c>
      <c r="J553" s="16" t="s">
        <v>657</v>
      </c>
      <c r="K553" s="16" t="s">
        <v>36</v>
      </c>
      <c r="L553" s="16"/>
      <c r="M553" s="16" t="str">
        <f>IF(L553="","",H553*L553)</f>
        <v>0</v>
      </c>
    </row>
    <row r="554" spans="1:13">
      <c r="A554" s="15" t="s">
        <v>1674</v>
      </c>
      <c r="B554" s="16" t="s">
        <v>1675</v>
      </c>
      <c r="C554" s="17"/>
      <c r="D554" s="16" t="s">
        <v>1661</v>
      </c>
      <c r="E554" s="16">
        <v>1411296</v>
      </c>
      <c r="F554" s="16" t="s">
        <v>1604</v>
      </c>
      <c r="G554" s="18">
        <v>86</v>
      </c>
      <c r="H554" s="19" t="str">
        <f>ROUND((86/100*(100-M16)),0)</f>
        <v>0</v>
      </c>
      <c r="I554" s="14">
        <v>7</v>
      </c>
      <c r="J554" s="16" t="s">
        <v>657</v>
      </c>
      <c r="K554" s="16" t="s">
        <v>36</v>
      </c>
      <c r="L554" s="16"/>
      <c r="M554" s="16" t="str">
        <f>IF(L554="","",H554*L554)</f>
        <v>0</v>
      </c>
    </row>
    <row r="555" spans="1:13">
      <c r="A555" s="15" t="s">
        <v>1676</v>
      </c>
      <c r="B555" s="16" t="s">
        <v>1677</v>
      </c>
      <c r="C555" s="17"/>
      <c r="D555" s="16" t="s">
        <v>1661</v>
      </c>
      <c r="E555" s="16">
        <v>1411297</v>
      </c>
      <c r="F555" s="16" t="s">
        <v>1604</v>
      </c>
      <c r="G555" s="18">
        <v>86</v>
      </c>
      <c r="H555" s="19" t="str">
        <f>ROUND((86/100*(100-M16)),0)</f>
        <v>0</v>
      </c>
      <c r="I555" s="14">
        <v>8</v>
      </c>
      <c r="J555" s="16" t="s">
        <v>657</v>
      </c>
      <c r="K555" s="16" t="s">
        <v>36</v>
      </c>
      <c r="L555" s="16"/>
      <c r="M555" s="16" t="str">
        <f>IF(L555="","",H555*L555)</f>
        <v>0</v>
      </c>
    </row>
    <row r="556" spans="1:13">
      <c r="A556" s="15" t="s">
        <v>1678</v>
      </c>
      <c r="B556" s="16" t="s">
        <v>1679</v>
      </c>
      <c r="C556" s="17"/>
      <c r="D556" s="16" t="s">
        <v>1661</v>
      </c>
      <c r="E556" s="16">
        <v>1411298</v>
      </c>
      <c r="F556" s="16" t="s">
        <v>1604</v>
      </c>
      <c r="G556" s="18">
        <v>86</v>
      </c>
      <c r="H556" s="19" t="str">
        <f>ROUND((86/100*(100-M16)),0)</f>
        <v>0</v>
      </c>
      <c r="I556" s="14">
        <v>2</v>
      </c>
      <c r="J556" s="16" t="s">
        <v>657</v>
      </c>
      <c r="K556" s="16" t="s">
        <v>36</v>
      </c>
      <c r="L556" s="16"/>
      <c r="M556" s="16" t="str">
        <f>IF(L556="","",H556*L556)</f>
        <v>0</v>
      </c>
    </row>
    <row r="557" spans="1:13">
      <c r="A557" s="15" t="s">
        <v>1680</v>
      </c>
      <c r="B557" s="16" t="s">
        <v>1681</v>
      </c>
      <c r="C557" s="17"/>
      <c r="D557" s="16" t="s">
        <v>1661</v>
      </c>
      <c r="E557" s="16">
        <v>1411299</v>
      </c>
      <c r="F557" s="16" t="s">
        <v>1604</v>
      </c>
      <c r="G557" s="18">
        <v>86</v>
      </c>
      <c r="H557" s="19" t="str">
        <f>ROUND((86/100*(100-M16)),0)</f>
        <v>0</v>
      </c>
      <c r="I557" s="14">
        <v>2</v>
      </c>
      <c r="J557" s="16" t="s">
        <v>657</v>
      </c>
      <c r="K557" s="16" t="s">
        <v>36</v>
      </c>
      <c r="L557" s="16"/>
      <c r="M557" s="16" t="str">
        <f>IF(L557="","",H557*L557)</f>
        <v>0</v>
      </c>
    </row>
    <row r="558" spans="1:13">
      <c r="A558" s="15" t="s">
        <v>1682</v>
      </c>
      <c r="B558" s="16" t="s">
        <v>1683</v>
      </c>
      <c r="C558" s="17"/>
      <c r="D558" s="16" t="s">
        <v>1661</v>
      </c>
      <c r="E558" s="16">
        <v>1411301</v>
      </c>
      <c r="F558" s="16" t="s">
        <v>1604</v>
      </c>
      <c r="G558" s="18">
        <v>86</v>
      </c>
      <c r="H558" s="19" t="str">
        <f>ROUND((86/100*(100-M16)),0)</f>
        <v>0</v>
      </c>
      <c r="I558" s="14">
        <v>4</v>
      </c>
      <c r="J558" s="16" t="s">
        <v>657</v>
      </c>
      <c r="K558" s="16" t="s">
        <v>36</v>
      </c>
      <c r="L558" s="16"/>
      <c r="M558" s="16" t="str">
        <f>IF(L558="","",H558*L558)</f>
        <v>0</v>
      </c>
    </row>
    <row r="559" spans="1:13">
      <c r="A559" s="15" t="s">
        <v>1684</v>
      </c>
      <c r="B559" s="16" t="s">
        <v>1685</v>
      </c>
      <c r="C559" s="17"/>
      <c r="D559" s="16" t="s">
        <v>1661</v>
      </c>
      <c r="E559" s="16">
        <v>1411302</v>
      </c>
      <c r="F559" s="16" t="s">
        <v>1604</v>
      </c>
      <c r="G559" s="18">
        <v>86</v>
      </c>
      <c r="H559" s="19" t="str">
        <f>ROUND((86/100*(100-M16)),0)</f>
        <v>0</v>
      </c>
      <c r="I559" s="14">
        <v>5</v>
      </c>
      <c r="J559" s="16" t="s">
        <v>657</v>
      </c>
      <c r="K559" s="16" t="s">
        <v>36</v>
      </c>
      <c r="L559" s="16"/>
      <c r="M559" s="16" t="str">
        <f>IF(L559="","",H559*L559)</f>
        <v>0</v>
      </c>
    </row>
    <row r="560" spans="1:13">
      <c r="A560" s="15" t="s">
        <v>1686</v>
      </c>
      <c r="B560" s="16" t="s">
        <v>1687</v>
      </c>
      <c r="C560" s="17"/>
      <c r="D560" s="16" t="s">
        <v>1661</v>
      </c>
      <c r="E560" s="16">
        <v>1740046</v>
      </c>
      <c r="F560" s="16" t="s">
        <v>1604</v>
      </c>
      <c r="G560" s="18">
        <v>85</v>
      </c>
      <c r="H560" s="19" t="str">
        <f>ROUND((85/100*(100-M16)),0)</f>
        <v>0</v>
      </c>
      <c r="I560" s="14">
        <v>7</v>
      </c>
      <c r="J560" s="16" t="s">
        <v>1688</v>
      </c>
      <c r="K560" s="16" t="s">
        <v>36</v>
      </c>
      <c r="L560" s="16"/>
      <c r="M560" s="16" t="str">
        <f>IF(L560="","",H560*L560)</f>
        <v>0</v>
      </c>
    </row>
    <row r="561" spans="1:13">
      <c r="A561" s="15" t="s">
        <v>1689</v>
      </c>
      <c r="B561" s="16" t="s">
        <v>1690</v>
      </c>
      <c r="C561" s="17"/>
      <c r="D561" s="16" t="s">
        <v>1661</v>
      </c>
      <c r="E561" s="16">
        <v>1740047</v>
      </c>
      <c r="F561" s="16" t="s">
        <v>1604</v>
      </c>
      <c r="G561" s="18">
        <v>85</v>
      </c>
      <c r="H561" s="19" t="str">
        <f>ROUND((85/100*(100-M16)),0)</f>
        <v>0</v>
      </c>
      <c r="I561" s="14">
        <v>8</v>
      </c>
      <c r="J561" s="16" t="s">
        <v>1688</v>
      </c>
      <c r="K561" s="16" t="s">
        <v>36</v>
      </c>
      <c r="L561" s="16"/>
      <c r="M561" s="16" t="str">
        <f>IF(L561="","",H561*L561)</f>
        <v>0</v>
      </c>
    </row>
    <row r="562" spans="1:13">
      <c r="A562" s="15" t="s">
        <v>1691</v>
      </c>
      <c r="B562" s="16" t="s">
        <v>1692</v>
      </c>
      <c r="C562" s="17"/>
      <c r="D562" s="16" t="s">
        <v>1661</v>
      </c>
      <c r="E562" s="16">
        <v>1740048</v>
      </c>
      <c r="F562" s="16" t="s">
        <v>1604</v>
      </c>
      <c r="G562" s="18">
        <v>85</v>
      </c>
      <c r="H562" s="19" t="str">
        <f>ROUND((85/100*(100-M16)),0)</f>
        <v>0</v>
      </c>
      <c r="I562" s="14">
        <v>7</v>
      </c>
      <c r="J562" s="16" t="s">
        <v>1688</v>
      </c>
      <c r="K562" s="16" t="s">
        <v>36</v>
      </c>
      <c r="L562" s="16"/>
      <c r="M562" s="16" t="str">
        <f>IF(L562="","",H562*L562)</f>
        <v>0</v>
      </c>
    </row>
    <row r="563" spans="1:13">
      <c r="A563" s="15" t="s">
        <v>1693</v>
      </c>
      <c r="B563" s="16" t="s">
        <v>1694</v>
      </c>
      <c r="C563" s="17"/>
      <c r="D563" s="16" t="s">
        <v>1661</v>
      </c>
      <c r="E563" s="16">
        <v>1740049</v>
      </c>
      <c r="F563" s="16" t="s">
        <v>1604</v>
      </c>
      <c r="G563" s="18">
        <v>85</v>
      </c>
      <c r="H563" s="19" t="str">
        <f>ROUND((85/100*(100-M16)),0)</f>
        <v>0</v>
      </c>
      <c r="I563" s="14">
        <v>6</v>
      </c>
      <c r="J563" s="16" t="s">
        <v>1688</v>
      </c>
      <c r="K563" s="16" t="s">
        <v>36</v>
      </c>
      <c r="L563" s="16"/>
      <c r="M563" s="16" t="str">
        <f>IF(L563="","",H563*L563)</f>
        <v>0</v>
      </c>
    </row>
    <row r="564" spans="1:13">
      <c r="A564" s="15" t="s">
        <v>1695</v>
      </c>
      <c r="B564" s="16" t="s">
        <v>1696</v>
      </c>
      <c r="C564" s="17"/>
      <c r="D564" s="16" t="s">
        <v>1661</v>
      </c>
      <c r="E564" s="16">
        <v>1740050</v>
      </c>
      <c r="F564" s="16" t="s">
        <v>1604</v>
      </c>
      <c r="G564" s="18">
        <v>85</v>
      </c>
      <c r="H564" s="19" t="str">
        <f>ROUND((85/100*(100-M16)),0)</f>
        <v>0</v>
      </c>
      <c r="I564" s="14">
        <v>3</v>
      </c>
      <c r="J564" s="16" t="s">
        <v>1688</v>
      </c>
      <c r="K564" s="16" t="s">
        <v>36</v>
      </c>
      <c r="L564" s="16"/>
      <c r="M564" s="16" t="str">
        <f>IF(L564="","",H564*L564)</f>
        <v>0</v>
      </c>
    </row>
    <row r="565" spans="1:13">
      <c r="A565" s="15" t="s">
        <v>1697</v>
      </c>
      <c r="B565" s="16" t="s">
        <v>1698</v>
      </c>
      <c r="C565" s="17"/>
      <c r="D565" s="16" t="s">
        <v>1661</v>
      </c>
      <c r="E565" s="16">
        <v>1740051</v>
      </c>
      <c r="F565" s="16" t="s">
        <v>1604</v>
      </c>
      <c r="G565" s="18">
        <v>85</v>
      </c>
      <c r="H565" s="19" t="str">
        <f>ROUND((85/100*(100-M16)),0)</f>
        <v>0</v>
      </c>
      <c r="I565" s="14">
        <v>4</v>
      </c>
      <c r="J565" s="16" t="s">
        <v>1688</v>
      </c>
      <c r="K565" s="16" t="s">
        <v>36</v>
      </c>
      <c r="L565" s="16"/>
      <c r="M565" s="16" t="str">
        <f>IF(L565="","",H565*L565)</f>
        <v>0</v>
      </c>
    </row>
    <row r="566" spans="1:13">
      <c r="A566" s="15" t="s">
        <v>1699</v>
      </c>
      <c r="B566" s="16" t="s">
        <v>1700</v>
      </c>
      <c r="C566" s="17"/>
      <c r="D566" s="16" t="s">
        <v>1661</v>
      </c>
      <c r="E566" s="16">
        <v>1740052</v>
      </c>
      <c r="F566" s="16" t="s">
        <v>1604</v>
      </c>
      <c r="G566" s="18">
        <v>85</v>
      </c>
      <c r="H566" s="19" t="str">
        <f>ROUND((85/100*(100-M16)),0)</f>
        <v>0</v>
      </c>
      <c r="I566" s="14">
        <v>6</v>
      </c>
      <c r="J566" s="16" t="s">
        <v>1688</v>
      </c>
      <c r="K566" s="16" t="s">
        <v>36</v>
      </c>
      <c r="L566" s="16"/>
      <c r="M566" s="16" t="str">
        <f>IF(L566="","",H566*L566)</f>
        <v>0</v>
      </c>
    </row>
    <row r="567" spans="1:13">
      <c r="A567" s="15" t="s">
        <v>1701</v>
      </c>
      <c r="B567" s="16" t="s">
        <v>1702</v>
      </c>
      <c r="C567" s="17"/>
      <c r="D567" s="16" t="s">
        <v>1661</v>
      </c>
      <c r="E567" s="16">
        <v>1740054</v>
      </c>
      <c r="F567" s="16" t="s">
        <v>1604</v>
      </c>
      <c r="G567" s="18">
        <v>85</v>
      </c>
      <c r="H567" s="19" t="str">
        <f>ROUND((85/100*(100-M16)),0)</f>
        <v>0</v>
      </c>
      <c r="I567" s="14">
        <v>1</v>
      </c>
      <c r="J567" s="16" t="s">
        <v>1688</v>
      </c>
      <c r="K567" s="16" t="s">
        <v>36</v>
      </c>
      <c r="L567" s="16"/>
      <c r="M567" s="16" t="str">
        <f>IF(L567="","",H567*L567)</f>
        <v>0</v>
      </c>
    </row>
    <row r="568" spans="1:13">
      <c r="A568" s="15" t="s">
        <v>1703</v>
      </c>
      <c r="B568" s="16" t="s">
        <v>1704</v>
      </c>
      <c r="C568" s="17"/>
      <c r="D568" s="16" t="s">
        <v>1661</v>
      </c>
      <c r="E568" s="16">
        <v>314969</v>
      </c>
      <c r="F568" s="16" t="s">
        <v>1604</v>
      </c>
      <c r="G568" s="18">
        <v>750</v>
      </c>
      <c r="H568" s="19" t="str">
        <f>ROUND((750/100*(100-M16)),0)</f>
        <v>0</v>
      </c>
      <c r="I568" s="14">
        <v>14</v>
      </c>
      <c r="J568" s="16" t="s">
        <v>870</v>
      </c>
      <c r="K568" s="16" t="s">
        <v>662</v>
      </c>
      <c r="L568" s="16"/>
      <c r="M568" s="16" t="str">
        <f>IF(L568="","",H568*L568)</f>
        <v>0</v>
      </c>
    </row>
    <row r="569" spans="1:13">
      <c r="A569" s="15" t="s">
        <v>1705</v>
      </c>
      <c r="B569" s="16" t="s">
        <v>1706</v>
      </c>
      <c r="C569" s="17"/>
      <c r="D569" s="16" t="s">
        <v>1661</v>
      </c>
      <c r="E569" s="16">
        <v>3639376</v>
      </c>
      <c r="F569" s="16" t="s">
        <v>1604</v>
      </c>
      <c r="G569" s="18">
        <v>150</v>
      </c>
      <c r="H569" s="19" t="str">
        <f>ROUND((150/100*(100-M16)),0)</f>
        <v>0</v>
      </c>
      <c r="I569" s="14">
        <v>2</v>
      </c>
      <c r="J569" s="16" t="s">
        <v>1707</v>
      </c>
      <c r="K569" s="16" t="s">
        <v>662</v>
      </c>
      <c r="L569" s="16"/>
      <c r="M569" s="16" t="str">
        <f>IF(L569="","",H569*L569)</f>
        <v>0</v>
      </c>
    </row>
    <row r="570" spans="1:13">
      <c r="A570" s="15" t="s">
        <v>1708</v>
      </c>
      <c r="B570" s="16" t="s">
        <v>1709</v>
      </c>
      <c r="C570" s="17"/>
      <c r="D570" s="16" t="s">
        <v>1661</v>
      </c>
      <c r="E570" s="16">
        <v>3938134</v>
      </c>
      <c r="F570" s="16" t="s">
        <v>1604</v>
      </c>
      <c r="G570" s="18">
        <v>85</v>
      </c>
      <c r="H570" s="19" t="str">
        <f>ROUND((85/100*(100-M16)),0)</f>
        <v>0</v>
      </c>
      <c r="I570" s="14">
        <v>7</v>
      </c>
      <c r="J570" s="16" t="s">
        <v>657</v>
      </c>
      <c r="K570" s="16" t="s">
        <v>36</v>
      </c>
      <c r="L570" s="16"/>
      <c r="M570" s="16" t="str">
        <f>IF(L570="","",H570*L570)</f>
        <v>0</v>
      </c>
    </row>
    <row r="571" spans="1:13">
      <c r="A571" s="15" t="s">
        <v>1710</v>
      </c>
      <c r="B571" s="16" t="s">
        <v>1711</v>
      </c>
      <c r="C571" s="17"/>
      <c r="D571" s="16" t="s">
        <v>1661</v>
      </c>
      <c r="E571" s="16">
        <v>3938135</v>
      </c>
      <c r="F571" s="16" t="s">
        <v>1604</v>
      </c>
      <c r="G571" s="18">
        <v>83</v>
      </c>
      <c r="H571" s="19" t="str">
        <f>ROUND((83/100*(100-M16)),0)</f>
        <v>0</v>
      </c>
      <c r="I571" s="14">
        <v>11</v>
      </c>
      <c r="J571" s="16" t="s">
        <v>657</v>
      </c>
      <c r="K571" s="16" t="s">
        <v>36</v>
      </c>
      <c r="L571" s="16"/>
      <c r="M571" s="16" t="str">
        <f>IF(L571="","",H571*L571)</f>
        <v>0</v>
      </c>
    </row>
    <row r="572" spans="1:13">
      <c r="A572" s="15" t="s">
        <v>1712</v>
      </c>
      <c r="B572" s="16" t="s">
        <v>1713</v>
      </c>
      <c r="C572" s="17"/>
      <c r="D572" s="16" t="s">
        <v>1661</v>
      </c>
      <c r="E572" s="16">
        <v>3938136</v>
      </c>
      <c r="F572" s="16" t="s">
        <v>1604</v>
      </c>
      <c r="G572" s="18">
        <v>85</v>
      </c>
      <c r="H572" s="19" t="str">
        <f>ROUND((85/100*(100-M16)),0)</f>
        <v>0</v>
      </c>
      <c r="I572" s="14">
        <v>9</v>
      </c>
      <c r="J572" s="16" t="s">
        <v>657</v>
      </c>
      <c r="K572" s="16" t="s">
        <v>36</v>
      </c>
      <c r="L572" s="16"/>
      <c r="M572" s="16" t="str">
        <f>IF(L572="","",H572*L572)</f>
        <v>0</v>
      </c>
    </row>
    <row r="573" spans="1:13">
      <c r="A573" s="15" t="s">
        <v>1714</v>
      </c>
      <c r="B573" s="16" t="s">
        <v>1715</v>
      </c>
      <c r="C573" s="17"/>
      <c r="D573" s="16" t="s">
        <v>1661</v>
      </c>
      <c r="E573" s="16">
        <v>3938138</v>
      </c>
      <c r="F573" s="16" t="s">
        <v>1604</v>
      </c>
      <c r="G573" s="18">
        <v>85</v>
      </c>
      <c r="H573" s="19" t="str">
        <f>ROUND((85/100*(100-M16)),0)</f>
        <v>0</v>
      </c>
      <c r="I573" s="14">
        <v>6</v>
      </c>
      <c r="J573" s="16" t="s">
        <v>657</v>
      </c>
      <c r="K573" s="16" t="s">
        <v>36</v>
      </c>
      <c r="L573" s="16"/>
      <c r="M573" s="16" t="str">
        <f>IF(L573="","",H573*L573)</f>
        <v>0</v>
      </c>
    </row>
    <row r="574" spans="1:13">
      <c r="A574" s="15" t="s">
        <v>1716</v>
      </c>
      <c r="B574" s="16" t="s">
        <v>1717</v>
      </c>
      <c r="C574" s="17"/>
      <c r="D574" s="16" t="s">
        <v>1661</v>
      </c>
      <c r="E574" s="16">
        <v>3938139</v>
      </c>
      <c r="F574" s="16" t="s">
        <v>1604</v>
      </c>
      <c r="G574" s="18">
        <v>85</v>
      </c>
      <c r="H574" s="19" t="str">
        <f>ROUND((85/100*(100-M16)),0)</f>
        <v>0</v>
      </c>
      <c r="I574" s="14">
        <v>12</v>
      </c>
      <c r="J574" s="16" t="s">
        <v>657</v>
      </c>
      <c r="K574" s="16" t="s">
        <v>36</v>
      </c>
      <c r="L574" s="16"/>
      <c r="M574" s="16" t="str">
        <f>IF(L574="","",H574*L574)</f>
        <v>0</v>
      </c>
    </row>
    <row r="575" spans="1:13">
      <c r="A575" s="15" t="s">
        <v>1718</v>
      </c>
      <c r="B575" s="16" t="s">
        <v>1719</v>
      </c>
      <c r="C575" s="17"/>
      <c r="D575" s="16" t="s">
        <v>1661</v>
      </c>
      <c r="E575" s="16">
        <v>3938140</v>
      </c>
      <c r="F575" s="16" t="s">
        <v>1604</v>
      </c>
      <c r="G575" s="18">
        <v>81</v>
      </c>
      <c r="H575" s="19" t="str">
        <f>ROUND((81/100*(100-M16)),0)</f>
        <v>0</v>
      </c>
      <c r="I575" s="14">
        <v>14</v>
      </c>
      <c r="J575" s="16" t="s">
        <v>657</v>
      </c>
      <c r="K575" s="16" t="s">
        <v>36</v>
      </c>
      <c r="L575" s="16"/>
      <c r="M575" s="16" t="str">
        <f>IF(L575="","",H575*L575)</f>
        <v>0</v>
      </c>
    </row>
    <row r="576" spans="1:13">
      <c r="A576" s="15" t="s">
        <v>1720</v>
      </c>
      <c r="B576" s="16" t="s">
        <v>1721</v>
      </c>
      <c r="C576" s="17"/>
      <c r="D576" s="16" t="s">
        <v>1661</v>
      </c>
      <c r="E576" s="16">
        <v>3938141</v>
      </c>
      <c r="F576" s="16" t="s">
        <v>1604</v>
      </c>
      <c r="G576" s="18">
        <v>85</v>
      </c>
      <c r="H576" s="19" t="str">
        <f>ROUND((85/100*(100-M16)),0)</f>
        <v>0</v>
      </c>
      <c r="I576" s="14">
        <v>19</v>
      </c>
      <c r="J576" s="16" t="s">
        <v>657</v>
      </c>
      <c r="K576" s="16" t="s">
        <v>36</v>
      </c>
      <c r="L576" s="16"/>
      <c r="M576" s="16" t="str">
        <f>IF(L576="","",H576*L576)</f>
        <v>0</v>
      </c>
    </row>
    <row r="577" spans="1:13">
      <c r="A577" s="15" t="s">
        <v>1722</v>
      </c>
      <c r="B577" s="16" t="s">
        <v>1723</v>
      </c>
      <c r="C577" s="17"/>
      <c r="D577" s="16" t="s">
        <v>1661</v>
      </c>
      <c r="E577" s="16">
        <v>3938142</v>
      </c>
      <c r="F577" s="16" t="s">
        <v>1604</v>
      </c>
      <c r="G577" s="18">
        <v>81</v>
      </c>
      <c r="H577" s="19" t="str">
        <f>ROUND((81/100*(100-M16)),0)</f>
        <v>0</v>
      </c>
      <c r="I577" s="14">
        <v>13</v>
      </c>
      <c r="J577" s="16" t="s">
        <v>657</v>
      </c>
      <c r="K577" s="16" t="s">
        <v>36</v>
      </c>
      <c r="L577" s="16"/>
      <c r="M577" s="16" t="str">
        <f>IF(L577="","",H577*L577)</f>
        <v>0</v>
      </c>
    </row>
    <row r="578" spans="1:13">
      <c r="A578" s="15" t="s">
        <v>1724</v>
      </c>
      <c r="B578" s="16" t="s">
        <v>1725</v>
      </c>
      <c r="C578" s="17"/>
      <c r="D578" s="16" t="s">
        <v>1661</v>
      </c>
      <c r="E578" s="16">
        <v>3938143</v>
      </c>
      <c r="F578" s="16" t="s">
        <v>1604</v>
      </c>
      <c r="G578" s="18">
        <v>85</v>
      </c>
      <c r="H578" s="19" t="str">
        <f>ROUND((85/100*(100-M16)),0)</f>
        <v>0</v>
      </c>
      <c r="I578" s="14">
        <v>7</v>
      </c>
      <c r="J578" s="16" t="s">
        <v>657</v>
      </c>
      <c r="K578" s="16" t="s">
        <v>36</v>
      </c>
      <c r="L578" s="16"/>
      <c r="M578" s="16" t="str">
        <f>IF(L578="","",H578*L578)</f>
        <v>0</v>
      </c>
    </row>
    <row r="579" spans="1:13">
      <c r="A579" s="15" t="s">
        <v>1726</v>
      </c>
      <c r="B579" s="16" t="s">
        <v>1727</v>
      </c>
      <c r="C579" s="17"/>
      <c r="D579" s="16" t="s">
        <v>1661</v>
      </c>
      <c r="E579" s="16">
        <v>5928484</v>
      </c>
      <c r="F579" s="16" t="s">
        <v>1604</v>
      </c>
      <c r="G579" s="18">
        <v>47</v>
      </c>
      <c r="H579" s="19" t="str">
        <f>ROUND((47/100*(100-M16)),0)</f>
        <v>0</v>
      </c>
      <c r="I579" s="14">
        <v>13</v>
      </c>
      <c r="J579" s="16" t="s">
        <v>1243</v>
      </c>
      <c r="K579" s="16" t="s">
        <v>36</v>
      </c>
      <c r="L579" s="16"/>
      <c r="M579" s="16" t="str">
        <f>IF(L579="","",H579*L579)</f>
        <v>0</v>
      </c>
    </row>
    <row r="580" spans="1:13">
      <c r="A580" s="15" t="s">
        <v>1728</v>
      </c>
      <c r="B580" s="16" t="s">
        <v>1729</v>
      </c>
      <c r="C580" s="17"/>
      <c r="D580" s="16" t="s">
        <v>1661</v>
      </c>
      <c r="E580" s="16">
        <v>5928486</v>
      </c>
      <c r="F580" s="16" t="s">
        <v>1604</v>
      </c>
      <c r="G580" s="18">
        <v>47</v>
      </c>
      <c r="H580" s="19" t="str">
        <f>ROUND((47/100*(100-M16)),0)</f>
        <v>0</v>
      </c>
      <c r="I580" s="14">
        <v>2</v>
      </c>
      <c r="J580" s="16" t="s">
        <v>1243</v>
      </c>
      <c r="K580" s="16" t="s">
        <v>36</v>
      </c>
      <c r="L580" s="16"/>
      <c r="M580" s="16" t="str">
        <f>IF(L580="","",H580*L580)</f>
        <v>0</v>
      </c>
    </row>
    <row r="581" spans="1:13">
      <c r="A581" s="15" t="s">
        <v>1730</v>
      </c>
      <c r="B581" s="16" t="s">
        <v>1731</v>
      </c>
      <c r="C581" s="17"/>
      <c r="D581" s="16" t="s">
        <v>1661</v>
      </c>
      <c r="E581" s="16">
        <v>5928487</v>
      </c>
      <c r="F581" s="16" t="s">
        <v>1604</v>
      </c>
      <c r="G581" s="18">
        <v>47</v>
      </c>
      <c r="H581" s="19" t="str">
        <f>ROUND((47/100*(100-M16)),0)</f>
        <v>0</v>
      </c>
      <c r="I581" s="14">
        <v>6</v>
      </c>
      <c r="J581" s="16" t="s">
        <v>1243</v>
      </c>
      <c r="K581" s="16" t="s">
        <v>36</v>
      </c>
      <c r="L581" s="16"/>
      <c r="M581" s="16" t="str">
        <f>IF(L581="","",H581*L581)</f>
        <v>0</v>
      </c>
    </row>
    <row r="582" spans="1:13">
      <c r="A582" s="15" t="s">
        <v>1732</v>
      </c>
      <c r="B582" s="16" t="s">
        <v>1733</v>
      </c>
      <c r="C582" s="17"/>
      <c r="D582" s="16" t="s">
        <v>1661</v>
      </c>
      <c r="E582" s="16">
        <v>5928488</v>
      </c>
      <c r="F582" s="16" t="s">
        <v>1604</v>
      </c>
      <c r="G582" s="18">
        <v>47</v>
      </c>
      <c r="H582" s="19" t="str">
        <f>ROUND((47/100*(100-M16)),0)</f>
        <v>0</v>
      </c>
      <c r="I582" s="14">
        <v>5</v>
      </c>
      <c r="J582" s="16" t="s">
        <v>1243</v>
      </c>
      <c r="K582" s="16" t="s">
        <v>36</v>
      </c>
      <c r="L582" s="16"/>
      <c r="M582" s="16" t="str">
        <f>IF(L582="","",H582*L582)</f>
        <v>0</v>
      </c>
    </row>
    <row r="583" spans="1:13">
      <c r="A583" s="15" t="s">
        <v>1734</v>
      </c>
      <c r="B583" s="16" t="s">
        <v>1735</v>
      </c>
      <c r="C583" s="17"/>
      <c r="D583" s="16" t="s">
        <v>1661</v>
      </c>
      <c r="E583" s="16">
        <v>5928489</v>
      </c>
      <c r="F583" s="16" t="s">
        <v>1604</v>
      </c>
      <c r="G583" s="18">
        <v>47</v>
      </c>
      <c r="H583" s="19" t="str">
        <f>ROUND((47/100*(100-M16)),0)</f>
        <v>0</v>
      </c>
      <c r="I583" s="14">
        <v>1</v>
      </c>
      <c r="J583" s="16" t="s">
        <v>1243</v>
      </c>
      <c r="K583" s="16" t="s">
        <v>36</v>
      </c>
      <c r="L583" s="16"/>
      <c r="M583" s="16" t="str">
        <f>IF(L583="","",H583*L583)</f>
        <v>0</v>
      </c>
    </row>
    <row r="584" spans="1:13">
      <c r="A584" s="15" t="s">
        <v>1736</v>
      </c>
      <c r="B584" s="16" t="s">
        <v>1737</v>
      </c>
      <c r="C584" s="17"/>
      <c r="D584" s="16" t="s">
        <v>1661</v>
      </c>
      <c r="E584" s="16">
        <v>5928490</v>
      </c>
      <c r="F584" s="16" t="s">
        <v>1604</v>
      </c>
      <c r="G584" s="18">
        <v>47</v>
      </c>
      <c r="H584" s="19" t="str">
        <f>ROUND((47/100*(100-M16)),0)</f>
        <v>0</v>
      </c>
      <c r="I584" s="14">
        <v>5</v>
      </c>
      <c r="J584" s="16" t="s">
        <v>1243</v>
      </c>
      <c r="K584" s="16" t="s">
        <v>36</v>
      </c>
      <c r="L584" s="16"/>
      <c r="M584" s="16" t="str">
        <f>IF(L584="","",H584*L584)</f>
        <v>0</v>
      </c>
    </row>
    <row r="585" spans="1:13">
      <c r="A585" s="15" t="s">
        <v>1738</v>
      </c>
      <c r="B585" s="16" t="s">
        <v>1739</v>
      </c>
      <c r="C585" s="17"/>
      <c r="D585" s="16" t="s">
        <v>1661</v>
      </c>
      <c r="E585" s="16">
        <v>5928491</v>
      </c>
      <c r="F585" s="16" t="s">
        <v>1604</v>
      </c>
      <c r="G585" s="18">
        <v>47</v>
      </c>
      <c r="H585" s="19" t="str">
        <f>ROUND((47/100*(100-M16)),0)</f>
        <v>0</v>
      </c>
      <c r="I585" s="14">
        <v>4</v>
      </c>
      <c r="J585" s="16" t="s">
        <v>1243</v>
      </c>
      <c r="K585" s="16" t="s">
        <v>36</v>
      </c>
      <c r="L585" s="16"/>
      <c r="M585" s="16" t="str">
        <f>IF(L585="","",H585*L585)</f>
        <v>0</v>
      </c>
    </row>
    <row r="586" spans="1:13">
      <c r="A586" s="15" t="s">
        <v>1740</v>
      </c>
      <c r="B586" s="16" t="s">
        <v>1741</v>
      </c>
      <c r="C586" s="17"/>
      <c r="D586" s="16" t="s">
        <v>1661</v>
      </c>
      <c r="E586" s="16">
        <v>5928493</v>
      </c>
      <c r="F586" s="16" t="s">
        <v>1604</v>
      </c>
      <c r="G586" s="18">
        <v>47</v>
      </c>
      <c r="H586" s="19" t="str">
        <f>ROUND((47/100*(100-M16)),0)</f>
        <v>0</v>
      </c>
      <c r="I586" s="14">
        <v>3</v>
      </c>
      <c r="J586" s="16" t="s">
        <v>1243</v>
      </c>
      <c r="K586" s="16" t="s">
        <v>36</v>
      </c>
      <c r="L586" s="16"/>
      <c r="M586" s="16" t="str">
        <f>IF(L586="","",H586*L586)</f>
        <v>0</v>
      </c>
    </row>
    <row r="587" spans="1:13">
      <c r="A587" s="15" t="s">
        <v>1742</v>
      </c>
      <c r="B587" s="16" t="s">
        <v>1743</v>
      </c>
      <c r="C587" s="17"/>
      <c r="D587" s="16" t="s">
        <v>1661</v>
      </c>
      <c r="E587" s="16">
        <v>5928494</v>
      </c>
      <c r="F587" s="16" t="s">
        <v>1604</v>
      </c>
      <c r="G587" s="18">
        <v>47</v>
      </c>
      <c r="H587" s="19" t="str">
        <f>ROUND((47/100*(100-M16)),0)</f>
        <v>0</v>
      </c>
      <c r="I587" s="14">
        <v>7</v>
      </c>
      <c r="J587" s="16" t="s">
        <v>1243</v>
      </c>
      <c r="K587" s="16" t="s">
        <v>36</v>
      </c>
      <c r="L587" s="16"/>
      <c r="M587" s="16" t="str">
        <f>IF(L587="","",H587*L587)</f>
        <v>0</v>
      </c>
    </row>
    <row r="588" spans="1:13">
      <c r="A588" s="15" t="s">
        <v>1744</v>
      </c>
      <c r="B588" s="16" t="s">
        <v>1745</v>
      </c>
      <c r="C588" s="17"/>
      <c r="D588" s="16" t="s">
        <v>1661</v>
      </c>
      <c r="E588" s="16">
        <v>5928496</v>
      </c>
      <c r="F588" s="16" t="s">
        <v>1604</v>
      </c>
      <c r="G588" s="18">
        <v>47</v>
      </c>
      <c r="H588" s="19" t="str">
        <f>ROUND((47/100*(100-M16)),0)</f>
        <v>0</v>
      </c>
      <c r="I588" s="14">
        <v>3</v>
      </c>
      <c r="J588" s="16" t="s">
        <v>1243</v>
      </c>
      <c r="K588" s="16" t="s">
        <v>36</v>
      </c>
      <c r="L588" s="16"/>
      <c r="M588" s="16" t="str">
        <f>IF(L588="","",H588*L588)</f>
        <v>0</v>
      </c>
    </row>
    <row r="589" spans="1:13">
      <c r="A589" s="15" t="s">
        <v>1746</v>
      </c>
      <c r="B589" s="16" t="s">
        <v>1747</v>
      </c>
      <c r="C589" s="17"/>
      <c r="D589" s="16" t="s">
        <v>1661</v>
      </c>
      <c r="E589" s="16">
        <v>5928497</v>
      </c>
      <c r="F589" s="16" t="s">
        <v>1604</v>
      </c>
      <c r="G589" s="18">
        <v>47</v>
      </c>
      <c r="H589" s="19" t="str">
        <f>ROUND((47/100*(100-M16)),0)</f>
        <v>0</v>
      </c>
      <c r="I589" s="14">
        <v>13</v>
      </c>
      <c r="J589" s="16" t="s">
        <v>1243</v>
      </c>
      <c r="K589" s="16" t="s">
        <v>36</v>
      </c>
      <c r="L589" s="16"/>
      <c r="M589" s="16" t="str">
        <f>IF(L589="","",H589*L589)</f>
        <v>0</v>
      </c>
    </row>
    <row r="590" spans="1:13">
      <c r="A590" s="15" t="s">
        <v>1748</v>
      </c>
      <c r="B590" s="16" t="s">
        <v>1749</v>
      </c>
      <c r="C590" s="17"/>
      <c r="D590" s="16" t="s">
        <v>1661</v>
      </c>
      <c r="E590" s="16">
        <v>5928498</v>
      </c>
      <c r="F590" s="16" t="s">
        <v>1604</v>
      </c>
      <c r="G590" s="18">
        <v>47</v>
      </c>
      <c r="H590" s="19" t="str">
        <f>ROUND((47/100*(100-M16)),0)</f>
        <v>0</v>
      </c>
      <c r="I590" s="14">
        <v>6</v>
      </c>
      <c r="J590" s="16" t="s">
        <v>1243</v>
      </c>
      <c r="K590" s="16" t="s">
        <v>36</v>
      </c>
      <c r="L590" s="16"/>
      <c r="M590" s="16" t="str">
        <f>IF(L590="","",H590*L590)</f>
        <v>0</v>
      </c>
    </row>
    <row r="591" spans="1:13">
      <c r="A591" s="15" t="s">
        <v>1750</v>
      </c>
      <c r="B591" s="16" t="s">
        <v>1751</v>
      </c>
      <c r="C591" s="17"/>
      <c r="D591" s="16" t="s">
        <v>1661</v>
      </c>
      <c r="E591" s="16">
        <v>5928499</v>
      </c>
      <c r="F591" s="16" t="s">
        <v>1604</v>
      </c>
      <c r="G591" s="18">
        <v>47</v>
      </c>
      <c r="H591" s="19" t="str">
        <f>ROUND((47/100*(100-M16)),0)</f>
        <v>0</v>
      </c>
      <c r="I591" s="14">
        <v>7</v>
      </c>
      <c r="J591" s="16" t="s">
        <v>1243</v>
      </c>
      <c r="K591" s="16" t="s">
        <v>36</v>
      </c>
      <c r="L591" s="16"/>
      <c r="M591" s="16" t="str">
        <f>IF(L591="","",H591*L591)</f>
        <v>0</v>
      </c>
    </row>
    <row r="592" spans="1:13">
      <c r="A592" s="15" t="s">
        <v>1752</v>
      </c>
      <c r="B592" s="16" t="s">
        <v>1753</v>
      </c>
      <c r="C592" s="17"/>
      <c r="D592" s="16" t="s">
        <v>1661</v>
      </c>
      <c r="E592" s="16">
        <v>5928500</v>
      </c>
      <c r="F592" s="16" t="s">
        <v>1604</v>
      </c>
      <c r="G592" s="18">
        <v>47</v>
      </c>
      <c r="H592" s="19" t="str">
        <f>ROUND((47/100*(100-M16)),0)</f>
        <v>0</v>
      </c>
      <c r="I592" s="14">
        <v>6</v>
      </c>
      <c r="J592" s="16" t="s">
        <v>1243</v>
      </c>
      <c r="K592" s="16" t="s">
        <v>36</v>
      </c>
      <c r="L592" s="16"/>
      <c r="M592" s="16" t="str">
        <f>IF(L592="","",H592*L592)</f>
        <v>0</v>
      </c>
    </row>
    <row r="593" spans="1:13">
      <c r="A593" s="15" t="s">
        <v>1754</v>
      </c>
      <c r="B593" s="16" t="s">
        <v>1755</v>
      </c>
      <c r="C593" s="17"/>
      <c r="D593" s="16" t="s">
        <v>1661</v>
      </c>
      <c r="E593" s="16">
        <v>5928501</v>
      </c>
      <c r="F593" s="16" t="s">
        <v>1604</v>
      </c>
      <c r="G593" s="18">
        <v>47</v>
      </c>
      <c r="H593" s="19" t="str">
        <f>ROUND((47/100*(100-M16)),0)</f>
        <v>0</v>
      </c>
      <c r="I593" s="14">
        <v>9</v>
      </c>
      <c r="J593" s="16" t="s">
        <v>1243</v>
      </c>
      <c r="K593" s="16" t="s">
        <v>36</v>
      </c>
      <c r="L593" s="16"/>
      <c r="M593" s="16" t="str">
        <f>IF(L593="","",H593*L593)</f>
        <v>0</v>
      </c>
    </row>
    <row r="594" spans="1:13">
      <c r="A594" s="15" t="s">
        <v>1756</v>
      </c>
      <c r="B594" s="16" t="s">
        <v>1757</v>
      </c>
      <c r="C594" s="17"/>
      <c r="D594" s="16" t="s">
        <v>1661</v>
      </c>
      <c r="E594" s="16">
        <v>5928502</v>
      </c>
      <c r="F594" s="16" t="s">
        <v>1604</v>
      </c>
      <c r="G594" s="18">
        <v>47</v>
      </c>
      <c r="H594" s="19" t="str">
        <f>ROUND((47/100*(100-M16)),0)</f>
        <v>0</v>
      </c>
      <c r="I594" s="14">
        <v>3</v>
      </c>
      <c r="J594" s="16" t="s">
        <v>1243</v>
      </c>
      <c r="K594" s="16" t="s">
        <v>36</v>
      </c>
      <c r="L594" s="16"/>
      <c r="M594" s="16" t="str">
        <f>IF(L594="","",H594*L594)</f>
        <v>0</v>
      </c>
    </row>
    <row r="595" spans="1:13">
      <c r="A595" s="15" t="s">
        <v>1758</v>
      </c>
      <c r="B595" s="16" t="s">
        <v>1759</v>
      </c>
      <c r="C595" s="17"/>
      <c r="D595" s="16" t="s">
        <v>1661</v>
      </c>
      <c r="E595" s="16">
        <v>5928503</v>
      </c>
      <c r="F595" s="16" t="s">
        <v>1604</v>
      </c>
      <c r="G595" s="18">
        <v>47</v>
      </c>
      <c r="H595" s="19" t="str">
        <f>ROUND((47/100*(100-M16)),0)</f>
        <v>0</v>
      </c>
      <c r="I595" s="14">
        <v>5</v>
      </c>
      <c r="J595" s="16" t="s">
        <v>1243</v>
      </c>
      <c r="K595" s="16" t="s">
        <v>36</v>
      </c>
      <c r="L595" s="16"/>
      <c r="M595" s="16" t="str">
        <f>IF(L595="","",H595*L595)</f>
        <v>0</v>
      </c>
    </row>
    <row r="596" spans="1:13">
      <c r="A596" s="15" t="s">
        <v>1760</v>
      </c>
      <c r="B596" s="16" t="s">
        <v>1761</v>
      </c>
      <c r="C596" s="17"/>
      <c r="D596" s="16" t="s">
        <v>1661</v>
      </c>
      <c r="E596" s="16">
        <v>703832</v>
      </c>
      <c r="F596" s="16" t="s">
        <v>1604</v>
      </c>
      <c r="G596" s="18">
        <v>86</v>
      </c>
      <c r="H596" s="19" t="str">
        <f>ROUND((86/100*(100-M16)),0)</f>
        <v>0</v>
      </c>
      <c r="I596" s="14">
        <v>2</v>
      </c>
      <c r="J596" s="16" t="s">
        <v>1762</v>
      </c>
      <c r="K596" s="16" t="s">
        <v>36</v>
      </c>
      <c r="L596" s="16"/>
      <c r="M596" s="16" t="str">
        <f>IF(L596="","",H596*L596)</f>
        <v>0</v>
      </c>
    </row>
    <row r="597" spans="1:13">
      <c r="A597" s="15" t="s">
        <v>1763</v>
      </c>
      <c r="B597" s="16" t="s">
        <v>1764</v>
      </c>
      <c r="C597" s="17"/>
      <c r="D597" s="16" t="s">
        <v>1661</v>
      </c>
      <c r="E597" s="16">
        <v>7838608</v>
      </c>
      <c r="F597" s="16" t="s">
        <v>1604</v>
      </c>
      <c r="G597" s="18">
        <v>109</v>
      </c>
      <c r="H597" s="19" t="str">
        <f>ROUND((109/100*(100-M16)),0)</f>
        <v>0</v>
      </c>
      <c r="I597" s="14">
        <v>3</v>
      </c>
      <c r="J597" s="16" t="s">
        <v>657</v>
      </c>
      <c r="K597" s="16" t="s">
        <v>36</v>
      </c>
      <c r="L597" s="16"/>
      <c r="M597" s="16" t="str">
        <f>IF(L597="","",H597*L597)</f>
        <v>0</v>
      </c>
    </row>
    <row r="598" spans="1:13">
      <c r="A598" s="15" t="s">
        <v>1765</v>
      </c>
      <c r="B598" s="16" t="s">
        <v>1766</v>
      </c>
      <c r="C598" s="17"/>
      <c r="D598" s="16" t="s">
        <v>1661</v>
      </c>
      <c r="E598" s="16">
        <v>7838611</v>
      </c>
      <c r="F598" s="16" t="s">
        <v>1604</v>
      </c>
      <c r="G598" s="18">
        <v>136</v>
      </c>
      <c r="H598" s="19" t="str">
        <f>ROUND((136/100*(100-M16)),0)</f>
        <v>0</v>
      </c>
      <c r="I598" s="14">
        <v>6</v>
      </c>
      <c r="J598" s="16" t="s">
        <v>657</v>
      </c>
      <c r="K598" s="16" t="s">
        <v>36</v>
      </c>
      <c r="L598" s="16"/>
      <c r="M598" s="16" t="str">
        <f>IF(L598="","",H598*L598)</f>
        <v>0</v>
      </c>
    </row>
    <row r="599" spans="1:13">
      <c r="A599" s="15" t="s">
        <v>1767</v>
      </c>
      <c r="B599" s="16" t="s">
        <v>1768</v>
      </c>
      <c r="C599" s="17"/>
      <c r="D599" s="16" t="s">
        <v>1661</v>
      </c>
      <c r="E599" s="16">
        <v>7838612</v>
      </c>
      <c r="F599" s="16" t="s">
        <v>1604</v>
      </c>
      <c r="G599" s="18">
        <v>136</v>
      </c>
      <c r="H599" s="19" t="str">
        <f>ROUND((136/100*(100-M16)),0)</f>
        <v>0</v>
      </c>
      <c r="I599" s="14">
        <v>6</v>
      </c>
      <c r="J599" s="16" t="s">
        <v>657</v>
      </c>
      <c r="K599" s="16" t="s">
        <v>36</v>
      </c>
      <c r="L599" s="16"/>
      <c r="M599" s="16" t="str">
        <f>IF(L599="","",H599*L599)</f>
        <v>0</v>
      </c>
    </row>
    <row r="600" spans="1:13">
      <c r="A600" s="15" t="s">
        <v>1769</v>
      </c>
      <c r="B600" s="16" t="s">
        <v>1770</v>
      </c>
      <c r="C600" s="17"/>
      <c r="D600" s="16" t="s">
        <v>1661</v>
      </c>
      <c r="E600" s="16">
        <v>7838613</v>
      </c>
      <c r="F600" s="16" t="s">
        <v>1604</v>
      </c>
      <c r="G600" s="18">
        <v>136</v>
      </c>
      <c r="H600" s="19" t="str">
        <f>ROUND((136/100*(100-M16)),0)</f>
        <v>0</v>
      </c>
      <c r="I600" s="14">
        <v>2</v>
      </c>
      <c r="J600" s="16" t="s">
        <v>657</v>
      </c>
      <c r="K600" s="16" t="s">
        <v>36</v>
      </c>
      <c r="L600" s="16"/>
      <c r="M600" s="16" t="str">
        <f>IF(L600="","",H600*L600)</f>
        <v>0</v>
      </c>
    </row>
    <row r="601" spans="1:13">
      <c r="A601" s="15" t="s">
        <v>1771</v>
      </c>
      <c r="B601" s="16" t="s">
        <v>1772</v>
      </c>
      <c r="C601" s="17"/>
      <c r="D601" s="16" t="s">
        <v>1661</v>
      </c>
      <c r="E601" s="16">
        <v>7838616</v>
      </c>
      <c r="F601" s="16" t="s">
        <v>1604</v>
      </c>
      <c r="G601" s="18">
        <v>134</v>
      </c>
      <c r="H601" s="19" t="str">
        <f>ROUND((134/100*(100-M16)),0)</f>
        <v>0</v>
      </c>
      <c r="I601" s="14">
        <v>1</v>
      </c>
      <c r="J601" s="16" t="s">
        <v>657</v>
      </c>
      <c r="K601" s="16" t="s">
        <v>36</v>
      </c>
      <c r="L601" s="16"/>
      <c r="M601" s="16" t="str">
        <f>IF(L601="","",H601*L601)</f>
        <v>0</v>
      </c>
    </row>
    <row r="602" spans="1:13">
      <c r="A602" s="15" t="s">
        <v>1773</v>
      </c>
      <c r="B602" s="16" t="s">
        <v>1774</v>
      </c>
      <c r="C602" s="17"/>
      <c r="D602" s="16" t="s">
        <v>1661</v>
      </c>
      <c r="E602" s="16">
        <v>9177641</v>
      </c>
      <c r="F602" s="16" t="s">
        <v>1604</v>
      </c>
      <c r="G602" s="18">
        <v>134</v>
      </c>
      <c r="H602" s="19" t="str">
        <f>ROUND((134/100*(100-M16)),0)</f>
        <v>0</v>
      </c>
      <c r="I602" s="14">
        <v>7</v>
      </c>
      <c r="J602" s="16" t="s">
        <v>657</v>
      </c>
      <c r="K602" s="16" t="s">
        <v>36</v>
      </c>
      <c r="L602" s="16"/>
      <c r="M602" s="16" t="str">
        <f>IF(L602="","",H602*L602)</f>
        <v>0</v>
      </c>
    </row>
    <row r="603" spans="1:13">
      <c r="A603" s="15" t="s">
        <v>1775</v>
      </c>
      <c r="B603" s="16" t="s">
        <v>1776</v>
      </c>
      <c r="C603" s="17"/>
      <c r="D603" s="16" t="s">
        <v>1661</v>
      </c>
      <c r="E603" s="16">
        <v>9177644</v>
      </c>
      <c r="F603" s="16" t="s">
        <v>1604</v>
      </c>
      <c r="G603" s="18">
        <v>134</v>
      </c>
      <c r="H603" s="19" t="str">
        <f>ROUND((134/100*(100-M16)),0)</f>
        <v>0</v>
      </c>
      <c r="I603" s="14">
        <v>8</v>
      </c>
      <c r="J603" s="16" t="s">
        <v>657</v>
      </c>
      <c r="K603" s="16" t="s">
        <v>36</v>
      </c>
      <c r="L603" s="16"/>
      <c r="M603" s="16" t="str">
        <f>IF(L603="","",H603*L603)</f>
        <v>0</v>
      </c>
    </row>
    <row r="604" spans="1:13">
      <c r="A604" s="15" t="s">
        <v>1777</v>
      </c>
      <c r="B604" s="16" t="s">
        <v>1778</v>
      </c>
      <c r="C604" s="17"/>
      <c r="D604" s="16" t="s">
        <v>1661</v>
      </c>
      <c r="E604" s="16">
        <v>9177645</v>
      </c>
      <c r="F604" s="16" t="s">
        <v>1604</v>
      </c>
      <c r="G604" s="18">
        <v>134</v>
      </c>
      <c r="H604" s="19" t="str">
        <f>ROUND((134/100*(100-M16)),0)</f>
        <v>0</v>
      </c>
      <c r="I604" s="14">
        <v>7</v>
      </c>
      <c r="J604" s="16" t="s">
        <v>657</v>
      </c>
      <c r="K604" s="16" t="s">
        <v>36</v>
      </c>
      <c r="L604" s="16"/>
      <c r="M604" s="16" t="str">
        <f>IF(L604="","",H604*L604)</f>
        <v>0</v>
      </c>
    </row>
    <row r="605" spans="1:13">
      <c r="A605" s="15" t="s">
        <v>1779</v>
      </c>
      <c r="B605" s="16" t="s">
        <v>1780</v>
      </c>
      <c r="C605" s="17"/>
      <c r="D605" s="16" t="s">
        <v>1661</v>
      </c>
      <c r="E605" s="16">
        <v>9177646</v>
      </c>
      <c r="F605" s="16" t="s">
        <v>1604</v>
      </c>
      <c r="G605" s="18">
        <v>134</v>
      </c>
      <c r="H605" s="19" t="str">
        <f>ROUND((134/100*(100-M16)),0)</f>
        <v>0</v>
      </c>
      <c r="I605" s="14">
        <v>8</v>
      </c>
      <c r="J605" s="16" t="s">
        <v>657</v>
      </c>
      <c r="K605" s="16" t="s">
        <v>36</v>
      </c>
      <c r="L605" s="16"/>
      <c r="M605" s="16" t="str">
        <f>IF(L605="","",H605*L605)</f>
        <v>0</v>
      </c>
    </row>
    <row r="606" spans="1:13">
      <c r="A606" s="15" t="s">
        <v>1781</v>
      </c>
      <c r="B606" s="16" t="s">
        <v>1782</v>
      </c>
      <c r="C606" s="17"/>
      <c r="D606" s="16" t="s">
        <v>1661</v>
      </c>
      <c r="E606" s="16">
        <v>9177647</v>
      </c>
      <c r="F606" s="16" t="s">
        <v>1604</v>
      </c>
      <c r="G606" s="18">
        <v>134</v>
      </c>
      <c r="H606" s="19" t="str">
        <f>ROUND((134/100*(100-M16)),0)</f>
        <v>0</v>
      </c>
      <c r="I606" s="14">
        <v>7</v>
      </c>
      <c r="J606" s="16" t="s">
        <v>657</v>
      </c>
      <c r="K606" s="16" t="s">
        <v>36</v>
      </c>
      <c r="L606" s="16"/>
      <c r="M606" s="16" t="str">
        <f>IF(L606="","",H606*L606)</f>
        <v>0</v>
      </c>
    </row>
    <row r="607" spans="1:13">
      <c r="A607" s="15" t="s">
        <v>1783</v>
      </c>
      <c r="B607" s="16" t="s">
        <v>1784</v>
      </c>
      <c r="C607" s="17"/>
      <c r="D607" s="16" t="s">
        <v>1661</v>
      </c>
      <c r="E607" s="16">
        <v>9177648</v>
      </c>
      <c r="F607" s="16" t="s">
        <v>1604</v>
      </c>
      <c r="G607" s="18">
        <v>134</v>
      </c>
      <c r="H607" s="19" t="str">
        <f>ROUND((134/100*(100-M16)),0)</f>
        <v>0</v>
      </c>
      <c r="I607" s="14">
        <v>11</v>
      </c>
      <c r="J607" s="16" t="s">
        <v>657</v>
      </c>
      <c r="K607" s="16" t="s">
        <v>36</v>
      </c>
      <c r="L607" s="16"/>
      <c r="M607" s="16" t="str">
        <f>IF(L607="","",H607*L607)</f>
        <v>0</v>
      </c>
    </row>
    <row r="608" spans="1:13">
      <c r="A608" s="15" t="s">
        <v>1785</v>
      </c>
      <c r="B608" s="16" t="s">
        <v>1786</v>
      </c>
      <c r="C608" s="17"/>
      <c r="D608" s="16" t="s">
        <v>1661</v>
      </c>
      <c r="E608" s="16">
        <v>9177649</v>
      </c>
      <c r="F608" s="16" t="s">
        <v>1604</v>
      </c>
      <c r="G608" s="18">
        <v>134</v>
      </c>
      <c r="H608" s="19" t="str">
        <f>ROUND((134/100*(100-M16)),0)</f>
        <v>0</v>
      </c>
      <c r="I608" s="14">
        <v>8</v>
      </c>
      <c r="J608" s="16" t="s">
        <v>657</v>
      </c>
      <c r="K608" s="16" t="s">
        <v>36</v>
      </c>
      <c r="L608" s="16"/>
      <c r="M608" s="16" t="str">
        <f>IF(L608="","",H608*L608)</f>
        <v>0</v>
      </c>
    </row>
    <row r="609" spans="1:13">
      <c r="A609" s="15" t="s">
        <v>1787</v>
      </c>
      <c r="B609" s="16" t="s">
        <v>1788</v>
      </c>
      <c r="C609" s="17"/>
      <c r="D609" s="16" t="s">
        <v>1661</v>
      </c>
      <c r="E609" s="16">
        <v>9177650</v>
      </c>
      <c r="F609" s="16" t="s">
        <v>1604</v>
      </c>
      <c r="G609" s="18">
        <v>134</v>
      </c>
      <c r="H609" s="19" t="str">
        <f>ROUND((134/100*(100-M16)),0)</f>
        <v>0</v>
      </c>
      <c r="I609" s="14">
        <v>8</v>
      </c>
      <c r="J609" s="16" t="s">
        <v>657</v>
      </c>
      <c r="K609" s="16" t="s">
        <v>36</v>
      </c>
      <c r="L609" s="16"/>
      <c r="M609" s="16" t="str">
        <f>IF(L609="","",H609*L609)</f>
        <v>0</v>
      </c>
    </row>
    <row r="610" spans="1:13">
      <c r="A610" s="15" t="s">
        <v>1789</v>
      </c>
      <c r="B610" s="16" t="s">
        <v>1790</v>
      </c>
      <c r="C610" s="17"/>
      <c r="D610" s="16" t="s">
        <v>1661</v>
      </c>
      <c r="E610" s="16" t="s">
        <v>1791</v>
      </c>
      <c r="F610" s="16" t="s">
        <v>1792</v>
      </c>
      <c r="G610" s="18">
        <v>50</v>
      </c>
      <c r="H610" s="19" t="str">
        <f>ROUND((50/100*(100-M16)),0)</f>
        <v>0</v>
      </c>
      <c r="I610" s="14">
        <v>6</v>
      </c>
      <c r="J610" s="16" t="s">
        <v>1793</v>
      </c>
      <c r="K610" s="16" t="s">
        <v>36</v>
      </c>
      <c r="L610" s="16"/>
      <c r="M610" s="16" t="str">
        <f>IF(L610="","",H610*L610)</f>
        <v>0</v>
      </c>
    </row>
    <row r="611" spans="1:13">
      <c r="A611" s="15" t="s">
        <v>1794</v>
      </c>
      <c r="B611" s="16" t="s">
        <v>1795</v>
      </c>
      <c r="C611" s="17"/>
      <c r="D611" s="16" t="s">
        <v>1661</v>
      </c>
      <c r="E611" s="16" t="s">
        <v>1796</v>
      </c>
      <c r="F611" s="16" t="s">
        <v>1792</v>
      </c>
      <c r="G611" s="18">
        <v>50</v>
      </c>
      <c r="H611" s="19" t="str">
        <f>ROUND((50/100*(100-M16)),0)</f>
        <v>0</v>
      </c>
      <c r="I611" s="14">
        <v>2</v>
      </c>
      <c r="J611" s="16" t="s">
        <v>1793</v>
      </c>
      <c r="K611" s="16" t="s">
        <v>36</v>
      </c>
      <c r="L611" s="16"/>
      <c r="M611" s="16" t="str">
        <f>IF(L611="","",H611*L611)</f>
        <v>0</v>
      </c>
    </row>
    <row r="612" spans="1:13">
      <c r="A612" s="15" t="s">
        <v>1797</v>
      </c>
      <c r="B612" s="16" t="s">
        <v>1798</v>
      </c>
      <c r="C612" s="17"/>
      <c r="D612" s="16" t="s">
        <v>1661</v>
      </c>
      <c r="E612" s="16" t="s">
        <v>1799</v>
      </c>
      <c r="F612" s="16" t="s">
        <v>1792</v>
      </c>
      <c r="G612" s="18">
        <v>39</v>
      </c>
      <c r="H612" s="19" t="str">
        <f>ROUND((39/100*(100-M16)),0)</f>
        <v>0</v>
      </c>
      <c r="I612" s="14">
        <v>19</v>
      </c>
      <c r="J612" s="16" t="s">
        <v>1800</v>
      </c>
      <c r="K612" s="16" t="s">
        <v>662</v>
      </c>
      <c r="L612" s="16"/>
      <c r="M612" s="16" t="str">
        <f>IF(L612="","",H612*L612)</f>
        <v>0</v>
      </c>
    </row>
    <row r="613" spans="1:13">
      <c r="A613" s="15" t="s">
        <v>1801</v>
      </c>
      <c r="B613" s="16" t="s">
        <v>1802</v>
      </c>
      <c r="C613" s="17"/>
      <c r="D613" s="16" t="s">
        <v>1661</v>
      </c>
      <c r="E613" s="16" t="s">
        <v>1803</v>
      </c>
      <c r="F613" s="16" t="s">
        <v>1792</v>
      </c>
      <c r="G613" s="18">
        <v>230</v>
      </c>
      <c r="H613" s="19" t="str">
        <f>ROUND((230/100*(100-M16)),0)</f>
        <v>0</v>
      </c>
      <c r="I613" s="14">
        <v>3</v>
      </c>
      <c r="J613" s="16" t="s">
        <v>1804</v>
      </c>
      <c r="K613" s="16" t="s">
        <v>662</v>
      </c>
      <c r="L613" s="16"/>
      <c r="M613" s="16" t="str">
        <f>IF(L613="","",H613*L613)</f>
        <v>0</v>
      </c>
    </row>
    <row r="614" spans="1:13">
      <c r="A614" s="15" t="s">
        <v>1805</v>
      </c>
      <c r="B614" s="16" t="s">
        <v>1806</v>
      </c>
      <c r="C614" s="17"/>
      <c r="D614" s="16" t="s">
        <v>1661</v>
      </c>
      <c r="E614" s="16" t="s">
        <v>1807</v>
      </c>
      <c r="F614" s="16" t="s">
        <v>1792</v>
      </c>
      <c r="G614" s="18">
        <v>50</v>
      </c>
      <c r="H614" s="19" t="str">
        <f>ROUND((50/100*(100-M16)),0)</f>
        <v>0</v>
      </c>
      <c r="I614" s="14">
        <v>12</v>
      </c>
      <c r="J614" s="16" t="s">
        <v>1793</v>
      </c>
      <c r="K614" s="16" t="s">
        <v>36</v>
      </c>
      <c r="L614" s="16"/>
      <c r="M614" s="16" t="str">
        <f>IF(L614="","",H614*L614)</f>
        <v>0</v>
      </c>
    </row>
    <row r="615" spans="1:13">
      <c r="A615" s="15"/>
      <c r="B615" s="16"/>
      <c r="C615" s="17"/>
      <c r="D615" s="16"/>
      <c r="E615" s="16"/>
      <c r="F615" s="16"/>
      <c r="G615" s="18"/>
      <c r="H615" s="19"/>
      <c r="J615" s="16"/>
      <c r="K615" s="16"/>
      <c r="L615" s="16"/>
      <c r="M615" s="16"/>
    </row>
    <row r="616" spans="1:13">
      <c r="A616" s="1" t="s">
        <v>0</v>
      </c>
      <c r="B616" s="1" t="s">
        <v>1</v>
      </c>
      <c r="C616" s="1" t="s">
        <v>2</v>
      </c>
      <c r="D616" s="1" t="s">
        <v>3</v>
      </c>
      <c r="E616" s="1" t="s">
        <v>4</v>
      </c>
      <c r="F616" s="1" t="s">
        <v>5</v>
      </c>
      <c r="G616" s="1" t="s">
        <v>6</v>
      </c>
      <c r="H616" s="1" t="s">
        <v>7</v>
      </c>
      <c r="I616" s="2" t="s">
        <v>8</v>
      </c>
      <c r="J616" s="1" t="s">
        <v>9</v>
      </c>
      <c r="K616" s="1" t="s">
        <v>10</v>
      </c>
      <c r="L616" s="3" t="s">
        <v>11</v>
      </c>
      <c r="M616" s="1" t="s">
        <v>12</v>
      </c>
    </row>
    <row r="617" spans="1:13">
      <c r="A617" s="13" t="s">
        <v>1808</v>
      </c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</row>
    <row r="618" spans="1:13">
      <c r="A618" s="15" t="s">
        <v>1809</v>
      </c>
      <c r="B618" s="16" t="s">
        <v>1810</v>
      </c>
      <c r="C618" s="17"/>
      <c r="D618" s="16" t="s">
        <v>1808</v>
      </c>
      <c r="E618" s="16" t="s">
        <v>1811</v>
      </c>
      <c r="F618" s="16" t="s">
        <v>1812</v>
      </c>
      <c r="G618" s="18">
        <v>1900</v>
      </c>
      <c r="H618" s="19" t="str">
        <f>ROUND((1900/100*(100-M16)),0)</f>
        <v>0</v>
      </c>
      <c r="I618" s="14">
        <v>1</v>
      </c>
      <c r="J618" s="16" t="s">
        <v>139</v>
      </c>
      <c r="K618" s="16" t="s">
        <v>662</v>
      </c>
      <c r="L618" s="16"/>
      <c r="M618" s="16" t="str">
        <f>IF(L618="","",H618*L618)</f>
        <v>0</v>
      </c>
    </row>
    <row r="619" spans="1:13">
      <c r="A619" s="15" t="s">
        <v>1813</v>
      </c>
      <c r="B619" s="16" t="s">
        <v>1814</v>
      </c>
      <c r="C619" s="17"/>
      <c r="D619" s="16" t="s">
        <v>1808</v>
      </c>
      <c r="E619" s="16" t="s">
        <v>1815</v>
      </c>
      <c r="F619" s="16" t="s">
        <v>1812</v>
      </c>
      <c r="G619" s="18">
        <v>1900</v>
      </c>
      <c r="H619" s="19" t="str">
        <f>ROUND((1900/100*(100-M16)),0)</f>
        <v>0</v>
      </c>
      <c r="I619" s="14">
        <v>1</v>
      </c>
      <c r="J619" s="16" t="s">
        <v>139</v>
      </c>
      <c r="K619" s="16" t="s">
        <v>662</v>
      </c>
      <c r="L619" s="16"/>
      <c r="M619" s="16" t="str">
        <f>IF(L619="","",H619*L619)</f>
        <v>0</v>
      </c>
    </row>
    <row r="620" spans="1:13">
      <c r="A620" s="15" t="s">
        <v>1816</v>
      </c>
      <c r="B620" s="16" t="s">
        <v>1817</v>
      </c>
      <c r="C620" s="17"/>
      <c r="D620" s="16" t="s">
        <v>1808</v>
      </c>
      <c r="E620" s="16" t="s">
        <v>1818</v>
      </c>
      <c r="F620" s="16" t="s">
        <v>1812</v>
      </c>
      <c r="G620" s="18">
        <v>1500</v>
      </c>
      <c r="H620" s="19" t="str">
        <f>ROUND((1500/100*(100-M16)),0)</f>
        <v>0</v>
      </c>
      <c r="I620" s="14">
        <v>1</v>
      </c>
      <c r="J620" s="16" t="s">
        <v>139</v>
      </c>
      <c r="K620" s="16" t="s">
        <v>662</v>
      </c>
      <c r="L620" s="16"/>
      <c r="M620" s="16" t="str">
        <f>IF(L620="","",H620*L620)</f>
        <v>0</v>
      </c>
    </row>
    <row r="621" spans="1:13">
      <c r="A621" s="15"/>
      <c r="B621" s="16"/>
      <c r="C621" s="17"/>
      <c r="D621" s="16"/>
      <c r="E621" s="16"/>
      <c r="F621" s="16"/>
      <c r="G621" s="18"/>
      <c r="H621" s="19"/>
      <c r="J621" s="16"/>
      <c r="K621" s="16"/>
      <c r="L621" s="16"/>
      <c r="M621" s="16"/>
    </row>
    <row r="622" spans="1:13">
      <c r="A622" s="1" t="s">
        <v>0</v>
      </c>
      <c r="B622" s="1" t="s">
        <v>1</v>
      </c>
      <c r="C622" s="1" t="s">
        <v>2</v>
      </c>
      <c r="D622" s="1" t="s">
        <v>3</v>
      </c>
      <c r="E622" s="1" t="s">
        <v>4</v>
      </c>
      <c r="F622" s="1" t="s">
        <v>5</v>
      </c>
      <c r="G622" s="1" t="s">
        <v>6</v>
      </c>
      <c r="H622" s="1" t="s">
        <v>7</v>
      </c>
      <c r="I622" s="2" t="s">
        <v>8</v>
      </c>
      <c r="J622" s="1" t="s">
        <v>9</v>
      </c>
      <c r="K622" s="1" t="s">
        <v>10</v>
      </c>
      <c r="L622" s="3" t="s">
        <v>11</v>
      </c>
      <c r="M622" s="1" t="s">
        <v>12</v>
      </c>
    </row>
    <row r="623" spans="1:13">
      <c r="A623" s="13" t="s">
        <v>1819</v>
      </c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</row>
    <row r="624" spans="1:13">
      <c r="A624" s="15" t="s">
        <v>1820</v>
      </c>
      <c r="B624" s="16" t="s">
        <v>1821</v>
      </c>
      <c r="C624" s="17"/>
      <c r="D624" s="16" t="s">
        <v>1819</v>
      </c>
      <c r="E624" s="16">
        <v>185509</v>
      </c>
      <c r="F624" s="16" t="s">
        <v>1604</v>
      </c>
      <c r="G624" s="18">
        <v>250</v>
      </c>
      <c r="H624" s="19" t="str">
        <f>ROUND((250/100*(100-M16)),0)</f>
        <v>0</v>
      </c>
      <c r="I624" s="14">
        <v>2</v>
      </c>
      <c r="J624" s="16" t="s">
        <v>1243</v>
      </c>
      <c r="K624" s="16" t="s">
        <v>36</v>
      </c>
      <c r="L624" s="16"/>
      <c r="M624" s="16" t="str">
        <f>IF(L624="","",H624*L624)</f>
        <v>0</v>
      </c>
    </row>
    <row r="625" spans="1:13">
      <c r="A625" s="15" t="s">
        <v>1822</v>
      </c>
      <c r="B625" s="16" t="s">
        <v>1823</v>
      </c>
      <c r="C625" s="17"/>
      <c r="D625" s="16" t="s">
        <v>1819</v>
      </c>
      <c r="E625" s="16">
        <v>185514</v>
      </c>
      <c r="F625" s="16" t="s">
        <v>1604</v>
      </c>
      <c r="G625" s="18">
        <v>250</v>
      </c>
      <c r="H625" s="19" t="str">
        <f>ROUND((250/100*(100-M16)),0)</f>
        <v>0</v>
      </c>
      <c r="I625" s="14">
        <v>12</v>
      </c>
      <c r="J625" s="16" t="s">
        <v>1243</v>
      </c>
      <c r="K625" s="16" t="s">
        <v>36</v>
      </c>
      <c r="L625" s="16"/>
      <c r="M625" s="16" t="str">
        <f>IF(L625="","",H625*L625)</f>
        <v>0</v>
      </c>
    </row>
    <row r="626" spans="1:13">
      <c r="A626" s="15" t="s">
        <v>1824</v>
      </c>
      <c r="B626" s="16" t="s">
        <v>1825</v>
      </c>
      <c r="C626" s="17"/>
      <c r="D626" s="16" t="s">
        <v>1819</v>
      </c>
      <c r="E626" s="16">
        <v>671573</v>
      </c>
      <c r="F626" s="16" t="s">
        <v>1604</v>
      </c>
      <c r="G626" s="18">
        <v>250</v>
      </c>
      <c r="H626" s="19" t="str">
        <f>ROUND((250/100*(100-M16)),0)</f>
        <v>0</v>
      </c>
      <c r="I626" s="14">
        <v>14</v>
      </c>
      <c r="J626" s="16" t="s">
        <v>1243</v>
      </c>
      <c r="K626" s="16" t="s">
        <v>36</v>
      </c>
      <c r="L626" s="16"/>
      <c r="M626" s="16" t="str">
        <f>IF(L626="","",H626*L626)</f>
        <v>0</v>
      </c>
    </row>
    <row r="627" spans="1:13">
      <c r="A627" s="15"/>
      <c r="B627" s="16"/>
      <c r="C627" s="17"/>
      <c r="D627" s="16"/>
      <c r="E627" s="16"/>
      <c r="F627" s="16"/>
      <c r="G627" s="18"/>
      <c r="H627" s="19"/>
      <c r="J627" s="16"/>
      <c r="K627" s="16"/>
      <c r="L627" s="16"/>
      <c r="M627" s="16"/>
    </row>
    <row r="628" spans="1:13">
      <c r="A628" s="1" t="s">
        <v>0</v>
      </c>
      <c r="B628" s="1" t="s">
        <v>1</v>
      </c>
      <c r="C628" s="1" t="s">
        <v>2</v>
      </c>
      <c r="D628" s="1" t="s">
        <v>3</v>
      </c>
      <c r="E628" s="1" t="s">
        <v>4</v>
      </c>
      <c r="F628" s="1" t="s">
        <v>5</v>
      </c>
      <c r="G628" s="1" t="s">
        <v>6</v>
      </c>
      <c r="H628" s="1" t="s">
        <v>7</v>
      </c>
      <c r="I628" s="2" t="s">
        <v>8</v>
      </c>
      <c r="J628" s="1" t="s">
        <v>9</v>
      </c>
      <c r="K628" s="1" t="s">
        <v>10</v>
      </c>
      <c r="L628" s="3" t="s">
        <v>11</v>
      </c>
      <c r="M628" s="1" t="s">
        <v>12</v>
      </c>
    </row>
    <row r="629" spans="1:13">
      <c r="A629" s="13" t="s">
        <v>1826</v>
      </c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</row>
    <row r="630" spans="1:13">
      <c r="A630" s="15" t="s">
        <v>1827</v>
      </c>
      <c r="B630" s="16" t="s">
        <v>1828</v>
      </c>
      <c r="C630" s="17"/>
      <c r="D630" s="16" t="s">
        <v>1826</v>
      </c>
      <c r="E630" s="16" t="s">
        <v>1829</v>
      </c>
      <c r="F630" s="16" t="s">
        <v>1812</v>
      </c>
      <c r="G630" s="18">
        <v>550</v>
      </c>
      <c r="H630" s="19" t="str">
        <f>ROUND((550/100*(100-M16)),0)</f>
        <v>0</v>
      </c>
      <c r="I630" s="14">
        <v>4</v>
      </c>
      <c r="J630" s="16" t="s">
        <v>139</v>
      </c>
      <c r="K630" s="16" t="s">
        <v>36</v>
      </c>
      <c r="L630" s="16"/>
      <c r="M630" s="16" t="str">
        <f>IF(L630="","",H630*L630)</f>
        <v>0</v>
      </c>
    </row>
    <row r="631" spans="1:13">
      <c r="A631" s="15" t="s">
        <v>1830</v>
      </c>
      <c r="B631" s="16" t="s">
        <v>1831</v>
      </c>
      <c r="C631" s="17"/>
      <c r="D631" s="16" t="s">
        <v>1826</v>
      </c>
      <c r="E631" s="16" t="s">
        <v>1832</v>
      </c>
      <c r="F631" s="16" t="s">
        <v>1812</v>
      </c>
      <c r="G631" s="18">
        <v>650</v>
      </c>
      <c r="H631" s="19" t="str">
        <f>ROUND((650/100*(100-M16)),0)</f>
        <v>0</v>
      </c>
      <c r="I631" s="14">
        <v>4</v>
      </c>
      <c r="J631" s="16" t="s">
        <v>139</v>
      </c>
      <c r="K631" s="16" t="s">
        <v>36</v>
      </c>
      <c r="L631" s="16"/>
      <c r="M631" s="16" t="str">
        <f>IF(L631="","",H631*L631)</f>
        <v>0</v>
      </c>
    </row>
    <row r="632" spans="1:13">
      <c r="A632" s="15"/>
      <c r="B632" s="16"/>
      <c r="C632" s="17"/>
      <c r="D632" s="16"/>
      <c r="E632" s="16"/>
      <c r="F632" s="16"/>
      <c r="G632" s="18"/>
      <c r="H632" s="19"/>
      <c r="J632" s="16"/>
      <c r="K632" s="16"/>
      <c r="L632" s="16"/>
      <c r="M632" s="16"/>
    </row>
    <row r="634" spans="1:13" customHeight="1" ht="32">
      <c r="A634" s="21" t="s">
        <v>1833</v>
      </c>
      <c r="B634" s="22"/>
      <c r="C634" s="22"/>
      <c r="D634" s="22"/>
      <c r="E634" s="23"/>
    </row>
    <row r="635" spans="1:13" customHeight="1" ht="32">
      <c r="A635" s="24" t="s">
        <v>1834</v>
      </c>
      <c r="B635" s="25"/>
      <c r="C635" s="25"/>
      <c r="D635" s="25"/>
      <c r="E635" s="26"/>
    </row>
    <row r="636" spans="1:13" customHeight="1" ht="46">
      <c r="A636" s="21" t="s">
        <v>1835</v>
      </c>
      <c r="B636" s="22"/>
      <c r="C636" s="22"/>
      <c r="D636" s="22"/>
      <c r="E636" s="23"/>
    </row>
    <row r="637" spans="1:13">
      <c r="A637" s="27" t="s">
        <v>1836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B4"/>
    <mergeCell ref="A5:B5"/>
    <mergeCell ref="A6:B7"/>
    <mergeCell ref="A8:B8"/>
    <mergeCell ref="A9:B9"/>
    <mergeCell ref="A16:L16"/>
    <mergeCell ref="A17:L17"/>
    <mergeCell ref="C2:M2"/>
    <mergeCell ref="C3:M3"/>
    <mergeCell ref="C4:M4"/>
    <mergeCell ref="C5:M5"/>
    <mergeCell ref="C6:D6"/>
    <mergeCell ref="E6:M6"/>
    <mergeCell ref="C7:M7"/>
    <mergeCell ref="C8:M8"/>
    <mergeCell ref="C9:F9"/>
    <mergeCell ref="G9:M9"/>
    <mergeCell ref="A19:M19"/>
    <mergeCell ref="A252:M252"/>
    <mergeCell ref="A259:M259"/>
    <mergeCell ref="A307:M307"/>
    <mergeCell ref="A347:M347"/>
    <mergeCell ref="A365:M365"/>
    <mergeCell ref="A406:M406"/>
    <mergeCell ref="A431:M431"/>
    <mergeCell ref="A453:M453"/>
    <mergeCell ref="A505:M505"/>
    <mergeCell ref="A516:M516"/>
    <mergeCell ref="A524:M524"/>
    <mergeCell ref="A549:M549"/>
    <mergeCell ref="A617:M617"/>
    <mergeCell ref="A623:M623"/>
    <mergeCell ref="A629:M629"/>
    <mergeCell ref="A634:E634"/>
    <mergeCell ref="A635:E635"/>
    <mergeCell ref="A636:E636"/>
    <mergeCell ref="A637:E637"/>
  </mergeCells>
  <hyperlinks>
    <hyperlink ref="C7" r:id="rId_hyperlink_1"/>
    <hyperlink ref="C8" r:id="rId_hyperlink_2"/>
    <hyperlink ref="G9" r:id="rId_hyperlink_3"/>
    <hyperlink ref="A20" r:id="rId_hyperlink_4"/>
    <hyperlink ref="C20" r:id="rId_hyperlink_5"/>
    <hyperlink ref="A21" r:id="rId_hyperlink_6"/>
    <hyperlink ref="C21" r:id="rId_hyperlink_7"/>
    <hyperlink ref="A22" r:id="rId_hyperlink_8"/>
    <hyperlink ref="C22" r:id="rId_hyperlink_9"/>
    <hyperlink ref="A23" r:id="rId_hyperlink_10"/>
    <hyperlink ref="C23" r:id="rId_hyperlink_11"/>
    <hyperlink ref="A24" r:id="rId_hyperlink_12"/>
    <hyperlink ref="C24" r:id="rId_hyperlink_13"/>
    <hyperlink ref="A25" r:id="rId_hyperlink_14"/>
    <hyperlink ref="C25" r:id="rId_hyperlink_15"/>
    <hyperlink ref="A26" r:id="rId_hyperlink_16"/>
    <hyperlink ref="C26" r:id="rId_hyperlink_17"/>
    <hyperlink ref="A27" r:id="rId_hyperlink_18"/>
    <hyperlink ref="C27" r:id="rId_hyperlink_19"/>
    <hyperlink ref="A28" r:id="rId_hyperlink_20"/>
    <hyperlink ref="C28" r:id="rId_hyperlink_21"/>
    <hyperlink ref="A29" r:id="rId_hyperlink_22"/>
    <hyperlink ref="C29" r:id="rId_hyperlink_23"/>
    <hyperlink ref="A30" r:id="rId_hyperlink_24"/>
    <hyperlink ref="C30" r:id="rId_hyperlink_25"/>
    <hyperlink ref="A31" r:id="rId_hyperlink_26"/>
    <hyperlink ref="C31" r:id="rId_hyperlink_27"/>
    <hyperlink ref="A32" r:id="rId_hyperlink_28"/>
    <hyperlink ref="C32" r:id="rId_hyperlink_29"/>
    <hyperlink ref="A33" r:id="rId_hyperlink_30"/>
    <hyperlink ref="C33" r:id="rId_hyperlink_31"/>
    <hyperlink ref="A34" r:id="rId_hyperlink_32"/>
    <hyperlink ref="C34" r:id="rId_hyperlink_33"/>
    <hyperlink ref="A35" r:id="rId_hyperlink_34"/>
    <hyperlink ref="C35" r:id="rId_hyperlink_35"/>
    <hyperlink ref="A36" r:id="rId_hyperlink_36"/>
    <hyperlink ref="C36" r:id="rId_hyperlink_37"/>
    <hyperlink ref="A37" r:id="rId_hyperlink_38"/>
    <hyperlink ref="A38" r:id="rId_hyperlink_39"/>
    <hyperlink ref="C38" r:id="rId_hyperlink_40"/>
    <hyperlink ref="A39" r:id="rId_hyperlink_41"/>
    <hyperlink ref="C39" r:id="rId_hyperlink_42"/>
    <hyperlink ref="A40" r:id="rId_hyperlink_43"/>
    <hyperlink ref="C40" r:id="rId_hyperlink_44"/>
    <hyperlink ref="A41" r:id="rId_hyperlink_45"/>
    <hyperlink ref="C41" r:id="rId_hyperlink_46"/>
    <hyperlink ref="A42" r:id="rId_hyperlink_47"/>
    <hyperlink ref="C42" r:id="rId_hyperlink_48"/>
    <hyperlink ref="A43" r:id="rId_hyperlink_49"/>
    <hyperlink ref="C43" r:id="rId_hyperlink_50"/>
    <hyperlink ref="A44" r:id="rId_hyperlink_51"/>
    <hyperlink ref="C44" r:id="rId_hyperlink_52"/>
    <hyperlink ref="A45" r:id="rId_hyperlink_53"/>
    <hyperlink ref="C45" r:id="rId_hyperlink_54"/>
    <hyperlink ref="A46" r:id="rId_hyperlink_55"/>
    <hyperlink ref="A47" r:id="rId_hyperlink_56"/>
    <hyperlink ref="A48" r:id="rId_hyperlink_57"/>
    <hyperlink ref="A49" r:id="rId_hyperlink_58"/>
    <hyperlink ref="A50" r:id="rId_hyperlink_59"/>
    <hyperlink ref="A51" r:id="rId_hyperlink_60"/>
    <hyperlink ref="C51" r:id="rId_hyperlink_61"/>
    <hyperlink ref="A52" r:id="rId_hyperlink_62"/>
    <hyperlink ref="C52" r:id="rId_hyperlink_63"/>
    <hyperlink ref="A53" r:id="rId_hyperlink_64"/>
    <hyperlink ref="C53" r:id="rId_hyperlink_65"/>
    <hyperlink ref="A54" r:id="rId_hyperlink_66"/>
    <hyperlink ref="C54" r:id="rId_hyperlink_67"/>
    <hyperlink ref="A55" r:id="rId_hyperlink_68"/>
    <hyperlink ref="C55" r:id="rId_hyperlink_69"/>
    <hyperlink ref="A56" r:id="rId_hyperlink_70"/>
    <hyperlink ref="C56" r:id="rId_hyperlink_71"/>
    <hyperlink ref="A57" r:id="rId_hyperlink_72"/>
    <hyperlink ref="C57" r:id="rId_hyperlink_73"/>
    <hyperlink ref="A58" r:id="rId_hyperlink_74"/>
    <hyperlink ref="C58" r:id="rId_hyperlink_75"/>
    <hyperlink ref="A59" r:id="rId_hyperlink_76"/>
    <hyperlink ref="A60" r:id="rId_hyperlink_77"/>
    <hyperlink ref="C60" r:id="rId_hyperlink_78"/>
    <hyperlink ref="A61" r:id="rId_hyperlink_79"/>
    <hyperlink ref="C61" r:id="rId_hyperlink_80"/>
    <hyperlink ref="A62" r:id="rId_hyperlink_81"/>
    <hyperlink ref="C62" r:id="rId_hyperlink_82"/>
    <hyperlink ref="A63" r:id="rId_hyperlink_83"/>
    <hyperlink ref="C63" r:id="rId_hyperlink_84"/>
    <hyperlink ref="A64" r:id="rId_hyperlink_85"/>
    <hyperlink ref="C64" r:id="rId_hyperlink_86"/>
    <hyperlink ref="A65" r:id="rId_hyperlink_87"/>
    <hyperlink ref="C65" r:id="rId_hyperlink_88"/>
    <hyperlink ref="A66" r:id="rId_hyperlink_89"/>
    <hyperlink ref="C66" r:id="rId_hyperlink_90"/>
    <hyperlink ref="A67" r:id="rId_hyperlink_91"/>
    <hyperlink ref="C67" r:id="rId_hyperlink_92"/>
    <hyperlink ref="A68" r:id="rId_hyperlink_93"/>
    <hyperlink ref="C68" r:id="rId_hyperlink_94"/>
    <hyperlink ref="A69" r:id="rId_hyperlink_95"/>
    <hyperlink ref="C69" r:id="rId_hyperlink_96"/>
    <hyperlink ref="A70" r:id="rId_hyperlink_97"/>
    <hyperlink ref="C70" r:id="rId_hyperlink_98"/>
    <hyperlink ref="A71" r:id="rId_hyperlink_99"/>
    <hyperlink ref="A72" r:id="rId_hyperlink_100"/>
    <hyperlink ref="A73" r:id="rId_hyperlink_101"/>
    <hyperlink ref="C73" r:id="rId_hyperlink_102"/>
    <hyperlink ref="A74" r:id="rId_hyperlink_103"/>
    <hyperlink ref="C74" r:id="rId_hyperlink_104"/>
    <hyperlink ref="A75" r:id="rId_hyperlink_105"/>
    <hyperlink ref="C75" r:id="rId_hyperlink_106"/>
    <hyperlink ref="A76" r:id="rId_hyperlink_107"/>
    <hyperlink ref="C76" r:id="rId_hyperlink_108"/>
    <hyperlink ref="A77" r:id="rId_hyperlink_109"/>
    <hyperlink ref="C77" r:id="rId_hyperlink_110"/>
    <hyperlink ref="A78" r:id="rId_hyperlink_111"/>
    <hyperlink ref="C78" r:id="rId_hyperlink_112"/>
    <hyperlink ref="A79" r:id="rId_hyperlink_113"/>
    <hyperlink ref="C79" r:id="rId_hyperlink_114"/>
    <hyperlink ref="A80" r:id="rId_hyperlink_115"/>
    <hyperlink ref="C80" r:id="rId_hyperlink_116"/>
    <hyperlink ref="A81" r:id="rId_hyperlink_117"/>
    <hyperlink ref="C81" r:id="rId_hyperlink_118"/>
    <hyperlink ref="A82" r:id="rId_hyperlink_119"/>
    <hyperlink ref="C82" r:id="rId_hyperlink_120"/>
    <hyperlink ref="A83" r:id="rId_hyperlink_121"/>
    <hyperlink ref="C83" r:id="rId_hyperlink_122"/>
    <hyperlink ref="A84" r:id="rId_hyperlink_123"/>
    <hyperlink ref="C84" r:id="rId_hyperlink_124"/>
    <hyperlink ref="A85" r:id="rId_hyperlink_125"/>
    <hyperlink ref="C85" r:id="rId_hyperlink_126"/>
    <hyperlink ref="A86" r:id="rId_hyperlink_127"/>
    <hyperlink ref="C86" r:id="rId_hyperlink_128"/>
    <hyperlink ref="A87" r:id="rId_hyperlink_129"/>
    <hyperlink ref="C87" r:id="rId_hyperlink_130"/>
    <hyperlink ref="A88" r:id="rId_hyperlink_131"/>
    <hyperlink ref="C88" r:id="rId_hyperlink_132"/>
    <hyperlink ref="A89" r:id="rId_hyperlink_133"/>
    <hyperlink ref="C89" r:id="rId_hyperlink_134"/>
    <hyperlink ref="A90" r:id="rId_hyperlink_135"/>
    <hyperlink ref="C90" r:id="rId_hyperlink_136"/>
    <hyperlink ref="A91" r:id="rId_hyperlink_137"/>
    <hyperlink ref="C91" r:id="rId_hyperlink_138"/>
    <hyperlink ref="A92" r:id="rId_hyperlink_139"/>
    <hyperlink ref="C92" r:id="rId_hyperlink_140"/>
    <hyperlink ref="A93" r:id="rId_hyperlink_141"/>
    <hyperlink ref="C93" r:id="rId_hyperlink_142"/>
    <hyperlink ref="A94" r:id="rId_hyperlink_143"/>
    <hyperlink ref="C94" r:id="rId_hyperlink_144"/>
    <hyperlink ref="A95" r:id="rId_hyperlink_145"/>
    <hyperlink ref="C95" r:id="rId_hyperlink_146"/>
    <hyperlink ref="A96" r:id="rId_hyperlink_147"/>
    <hyperlink ref="C96" r:id="rId_hyperlink_148"/>
    <hyperlink ref="A97" r:id="rId_hyperlink_149"/>
    <hyperlink ref="C97" r:id="rId_hyperlink_150"/>
    <hyperlink ref="A98" r:id="rId_hyperlink_151"/>
    <hyperlink ref="C98" r:id="rId_hyperlink_152"/>
    <hyperlink ref="A99" r:id="rId_hyperlink_153"/>
    <hyperlink ref="C99" r:id="rId_hyperlink_154"/>
    <hyperlink ref="A100" r:id="rId_hyperlink_155"/>
    <hyperlink ref="C100" r:id="rId_hyperlink_156"/>
    <hyperlink ref="A101" r:id="rId_hyperlink_157"/>
    <hyperlink ref="C101" r:id="rId_hyperlink_158"/>
    <hyperlink ref="A102" r:id="rId_hyperlink_159"/>
    <hyperlink ref="C102" r:id="rId_hyperlink_160"/>
    <hyperlink ref="A103" r:id="rId_hyperlink_161"/>
    <hyperlink ref="C103" r:id="rId_hyperlink_162"/>
    <hyperlink ref="A104" r:id="rId_hyperlink_163"/>
    <hyperlink ref="C104" r:id="rId_hyperlink_164"/>
    <hyperlink ref="A105" r:id="rId_hyperlink_165"/>
    <hyperlink ref="C105" r:id="rId_hyperlink_166"/>
    <hyperlink ref="A106" r:id="rId_hyperlink_167"/>
    <hyperlink ref="C106" r:id="rId_hyperlink_168"/>
    <hyperlink ref="A107" r:id="rId_hyperlink_169"/>
    <hyperlink ref="C107" r:id="rId_hyperlink_170"/>
    <hyperlink ref="A108" r:id="rId_hyperlink_171"/>
    <hyperlink ref="C108" r:id="rId_hyperlink_172"/>
    <hyperlink ref="A109" r:id="rId_hyperlink_173"/>
    <hyperlink ref="C109" r:id="rId_hyperlink_174"/>
    <hyperlink ref="A110" r:id="rId_hyperlink_175"/>
    <hyperlink ref="C110" r:id="rId_hyperlink_176"/>
    <hyperlink ref="A111" r:id="rId_hyperlink_177"/>
    <hyperlink ref="C111" r:id="rId_hyperlink_178"/>
    <hyperlink ref="A112" r:id="rId_hyperlink_179"/>
    <hyperlink ref="A113" r:id="rId_hyperlink_180"/>
    <hyperlink ref="C113" r:id="rId_hyperlink_181"/>
    <hyperlink ref="A114" r:id="rId_hyperlink_182"/>
    <hyperlink ref="C114" r:id="rId_hyperlink_183"/>
    <hyperlink ref="A115" r:id="rId_hyperlink_184"/>
    <hyperlink ref="C115" r:id="rId_hyperlink_185"/>
    <hyperlink ref="A116" r:id="rId_hyperlink_186"/>
    <hyperlink ref="C116" r:id="rId_hyperlink_187"/>
    <hyperlink ref="A117" r:id="rId_hyperlink_188"/>
    <hyperlink ref="C117" r:id="rId_hyperlink_189"/>
    <hyperlink ref="A118" r:id="rId_hyperlink_190"/>
    <hyperlink ref="C118" r:id="rId_hyperlink_191"/>
    <hyperlink ref="A119" r:id="rId_hyperlink_192"/>
    <hyperlink ref="C119" r:id="rId_hyperlink_193"/>
    <hyperlink ref="A120" r:id="rId_hyperlink_194"/>
    <hyperlink ref="C120" r:id="rId_hyperlink_195"/>
    <hyperlink ref="A121" r:id="rId_hyperlink_196"/>
    <hyperlink ref="C121" r:id="rId_hyperlink_197"/>
    <hyperlink ref="A122" r:id="rId_hyperlink_198"/>
    <hyperlink ref="C122" r:id="rId_hyperlink_199"/>
    <hyperlink ref="A123" r:id="rId_hyperlink_200"/>
    <hyperlink ref="C123" r:id="rId_hyperlink_201"/>
    <hyperlink ref="A124" r:id="rId_hyperlink_202"/>
    <hyperlink ref="C124" r:id="rId_hyperlink_203"/>
    <hyperlink ref="A125" r:id="rId_hyperlink_204"/>
    <hyperlink ref="C125" r:id="rId_hyperlink_205"/>
    <hyperlink ref="A126" r:id="rId_hyperlink_206"/>
    <hyperlink ref="C126" r:id="rId_hyperlink_207"/>
    <hyperlink ref="A127" r:id="rId_hyperlink_208"/>
    <hyperlink ref="C127" r:id="rId_hyperlink_209"/>
    <hyperlink ref="A128" r:id="rId_hyperlink_210"/>
    <hyperlink ref="C128" r:id="rId_hyperlink_211"/>
    <hyperlink ref="A129" r:id="rId_hyperlink_212"/>
    <hyperlink ref="C129" r:id="rId_hyperlink_213"/>
    <hyperlink ref="A130" r:id="rId_hyperlink_214"/>
    <hyperlink ref="C130" r:id="rId_hyperlink_215"/>
    <hyperlink ref="A131" r:id="rId_hyperlink_216"/>
    <hyperlink ref="C131" r:id="rId_hyperlink_217"/>
    <hyperlink ref="A132" r:id="rId_hyperlink_218"/>
    <hyperlink ref="A133" r:id="rId_hyperlink_219"/>
    <hyperlink ref="A134" r:id="rId_hyperlink_220"/>
    <hyperlink ref="C134" r:id="rId_hyperlink_221"/>
    <hyperlink ref="A135" r:id="rId_hyperlink_222"/>
    <hyperlink ref="C135" r:id="rId_hyperlink_223"/>
    <hyperlink ref="A136" r:id="rId_hyperlink_224"/>
    <hyperlink ref="C136" r:id="rId_hyperlink_225"/>
    <hyperlink ref="A137" r:id="rId_hyperlink_226"/>
    <hyperlink ref="C137" r:id="rId_hyperlink_227"/>
    <hyperlink ref="A138" r:id="rId_hyperlink_228"/>
    <hyperlink ref="C138" r:id="rId_hyperlink_229"/>
    <hyperlink ref="A139" r:id="rId_hyperlink_230"/>
    <hyperlink ref="C139" r:id="rId_hyperlink_231"/>
    <hyperlink ref="A140" r:id="rId_hyperlink_232"/>
    <hyperlink ref="C140" r:id="rId_hyperlink_233"/>
    <hyperlink ref="A141" r:id="rId_hyperlink_234"/>
    <hyperlink ref="C141" r:id="rId_hyperlink_235"/>
    <hyperlink ref="A142" r:id="rId_hyperlink_236"/>
    <hyperlink ref="C142" r:id="rId_hyperlink_237"/>
    <hyperlink ref="A143" r:id="rId_hyperlink_238"/>
    <hyperlink ref="C143" r:id="rId_hyperlink_239"/>
    <hyperlink ref="A144" r:id="rId_hyperlink_240"/>
    <hyperlink ref="C144" r:id="rId_hyperlink_241"/>
    <hyperlink ref="A145" r:id="rId_hyperlink_242"/>
    <hyperlink ref="C145" r:id="rId_hyperlink_243"/>
    <hyperlink ref="A146" r:id="rId_hyperlink_244"/>
    <hyperlink ref="C146" r:id="rId_hyperlink_245"/>
    <hyperlink ref="A147" r:id="rId_hyperlink_246"/>
    <hyperlink ref="C147" r:id="rId_hyperlink_247"/>
    <hyperlink ref="A148" r:id="rId_hyperlink_248"/>
    <hyperlink ref="C148" r:id="rId_hyperlink_249"/>
    <hyperlink ref="A149" r:id="rId_hyperlink_250"/>
    <hyperlink ref="C149" r:id="rId_hyperlink_251"/>
    <hyperlink ref="A150" r:id="rId_hyperlink_252"/>
    <hyperlink ref="C150" r:id="rId_hyperlink_253"/>
    <hyperlink ref="A151" r:id="rId_hyperlink_254"/>
    <hyperlink ref="C151" r:id="rId_hyperlink_255"/>
    <hyperlink ref="A152" r:id="rId_hyperlink_256"/>
    <hyperlink ref="C152" r:id="rId_hyperlink_257"/>
    <hyperlink ref="A153" r:id="rId_hyperlink_258"/>
    <hyperlink ref="C153" r:id="rId_hyperlink_259"/>
    <hyperlink ref="A154" r:id="rId_hyperlink_260"/>
    <hyperlink ref="C154" r:id="rId_hyperlink_261"/>
    <hyperlink ref="A155" r:id="rId_hyperlink_262"/>
    <hyperlink ref="C155" r:id="rId_hyperlink_263"/>
    <hyperlink ref="A156" r:id="rId_hyperlink_264"/>
    <hyperlink ref="C156" r:id="rId_hyperlink_265"/>
    <hyperlink ref="A157" r:id="rId_hyperlink_266"/>
    <hyperlink ref="C157" r:id="rId_hyperlink_267"/>
    <hyperlink ref="A158" r:id="rId_hyperlink_268"/>
    <hyperlink ref="C158" r:id="rId_hyperlink_269"/>
    <hyperlink ref="A159" r:id="rId_hyperlink_270"/>
    <hyperlink ref="C159" r:id="rId_hyperlink_271"/>
    <hyperlink ref="A160" r:id="rId_hyperlink_272"/>
    <hyperlink ref="C160" r:id="rId_hyperlink_273"/>
    <hyperlink ref="A161" r:id="rId_hyperlink_274"/>
    <hyperlink ref="C161" r:id="rId_hyperlink_275"/>
    <hyperlink ref="A162" r:id="rId_hyperlink_276"/>
    <hyperlink ref="C162" r:id="rId_hyperlink_277"/>
    <hyperlink ref="A163" r:id="rId_hyperlink_278"/>
    <hyperlink ref="C163" r:id="rId_hyperlink_279"/>
    <hyperlink ref="A164" r:id="rId_hyperlink_280"/>
    <hyperlink ref="C164" r:id="rId_hyperlink_281"/>
    <hyperlink ref="A165" r:id="rId_hyperlink_282"/>
    <hyperlink ref="C165" r:id="rId_hyperlink_283"/>
    <hyperlink ref="A166" r:id="rId_hyperlink_284"/>
    <hyperlink ref="C166" r:id="rId_hyperlink_285"/>
    <hyperlink ref="A167" r:id="rId_hyperlink_286"/>
    <hyperlink ref="C167" r:id="rId_hyperlink_287"/>
    <hyperlink ref="A168" r:id="rId_hyperlink_288"/>
    <hyperlink ref="C168" r:id="rId_hyperlink_289"/>
    <hyperlink ref="A169" r:id="rId_hyperlink_290"/>
    <hyperlink ref="C169" r:id="rId_hyperlink_291"/>
    <hyperlink ref="A170" r:id="rId_hyperlink_292"/>
    <hyperlink ref="C170" r:id="rId_hyperlink_293"/>
    <hyperlink ref="A171" r:id="rId_hyperlink_294"/>
    <hyperlink ref="C171" r:id="rId_hyperlink_295"/>
    <hyperlink ref="A172" r:id="rId_hyperlink_296"/>
    <hyperlink ref="C172" r:id="rId_hyperlink_297"/>
    <hyperlink ref="A173" r:id="rId_hyperlink_298"/>
    <hyperlink ref="C173" r:id="rId_hyperlink_299"/>
    <hyperlink ref="A174" r:id="rId_hyperlink_300"/>
    <hyperlink ref="C174" r:id="rId_hyperlink_301"/>
    <hyperlink ref="A175" r:id="rId_hyperlink_302"/>
    <hyperlink ref="C175" r:id="rId_hyperlink_303"/>
    <hyperlink ref="A176" r:id="rId_hyperlink_304"/>
    <hyperlink ref="C176" r:id="rId_hyperlink_305"/>
    <hyperlink ref="A177" r:id="rId_hyperlink_306"/>
    <hyperlink ref="C177" r:id="rId_hyperlink_307"/>
    <hyperlink ref="A178" r:id="rId_hyperlink_308"/>
    <hyperlink ref="C178" r:id="rId_hyperlink_309"/>
    <hyperlink ref="A179" r:id="rId_hyperlink_310"/>
    <hyperlink ref="C179" r:id="rId_hyperlink_311"/>
    <hyperlink ref="A180" r:id="rId_hyperlink_312"/>
    <hyperlink ref="C180" r:id="rId_hyperlink_313"/>
    <hyperlink ref="A181" r:id="rId_hyperlink_314"/>
    <hyperlink ref="C181" r:id="rId_hyperlink_315"/>
    <hyperlink ref="A182" r:id="rId_hyperlink_316"/>
    <hyperlink ref="C182" r:id="rId_hyperlink_317"/>
    <hyperlink ref="A183" r:id="rId_hyperlink_318"/>
    <hyperlink ref="C183" r:id="rId_hyperlink_319"/>
    <hyperlink ref="A184" r:id="rId_hyperlink_320"/>
    <hyperlink ref="C184" r:id="rId_hyperlink_321"/>
    <hyperlink ref="A185" r:id="rId_hyperlink_322"/>
    <hyperlink ref="C185" r:id="rId_hyperlink_323"/>
    <hyperlink ref="A186" r:id="rId_hyperlink_324"/>
    <hyperlink ref="C186" r:id="rId_hyperlink_325"/>
    <hyperlink ref="A187" r:id="rId_hyperlink_326"/>
    <hyperlink ref="C187" r:id="rId_hyperlink_327"/>
    <hyperlink ref="A188" r:id="rId_hyperlink_328"/>
    <hyperlink ref="C188" r:id="rId_hyperlink_329"/>
    <hyperlink ref="A189" r:id="rId_hyperlink_330"/>
    <hyperlink ref="C189" r:id="rId_hyperlink_331"/>
    <hyperlink ref="A190" r:id="rId_hyperlink_332"/>
    <hyperlink ref="C190" r:id="rId_hyperlink_333"/>
    <hyperlink ref="A191" r:id="rId_hyperlink_334"/>
    <hyperlink ref="C191" r:id="rId_hyperlink_335"/>
    <hyperlink ref="A192" r:id="rId_hyperlink_336"/>
    <hyperlink ref="C192" r:id="rId_hyperlink_337"/>
    <hyperlink ref="A193" r:id="rId_hyperlink_338"/>
    <hyperlink ref="C193" r:id="rId_hyperlink_339"/>
    <hyperlink ref="A194" r:id="rId_hyperlink_340"/>
    <hyperlink ref="C194" r:id="rId_hyperlink_341"/>
    <hyperlink ref="A195" r:id="rId_hyperlink_342"/>
    <hyperlink ref="C195" r:id="rId_hyperlink_343"/>
    <hyperlink ref="A196" r:id="rId_hyperlink_344"/>
    <hyperlink ref="C196" r:id="rId_hyperlink_345"/>
    <hyperlink ref="A197" r:id="rId_hyperlink_346"/>
    <hyperlink ref="C197" r:id="rId_hyperlink_347"/>
    <hyperlink ref="A198" r:id="rId_hyperlink_348"/>
    <hyperlink ref="C198" r:id="rId_hyperlink_349"/>
    <hyperlink ref="A199" r:id="rId_hyperlink_350"/>
    <hyperlink ref="C199" r:id="rId_hyperlink_351"/>
    <hyperlink ref="A200" r:id="rId_hyperlink_352"/>
    <hyperlink ref="C200" r:id="rId_hyperlink_353"/>
    <hyperlink ref="A201" r:id="rId_hyperlink_354"/>
    <hyperlink ref="C201" r:id="rId_hyperlink_355"/>
    <hyperlink ref="A202" r:id="rId_hyperlink_356"/>
    <hyperlink ref="C202" r:id="rId_hyperlink_357"/>
    <hyperlink ref="A203" r:id="rId_hyperlink_358"/>
    <hyperlink ref="C203" r:id="rId_hyperlink_359"/>
    <hyperlink ref="A204" r:id="rId_hyperlink_360"/>
    <hyperlink ref="C204" r:id="rId_hyperlink_361"/>
    <hyperlink ref="A205" r:id="rId_hyperlink_362"/>
    <hyperlink ref="C205" r:id="rId_hyperlink_363"/>
    <hyperlink ref="A206" r:id="rId_hyperlink_364"/>
    <hyperlink ref="C206" r:id="rId_hyperlink_365"/>
    <hyperlink ref="A207" r:id="rId_hyperlink_366"/>
    <hyperlink ref="C207" r:id="rId_hyperlink_367"/>
    <hyperlink ref="A208" r:id="rId_hyperlink_368"/>
    <hyperlink ref="C208" r:id="rId_hyperlink_369"/>
    <hyperlink ref="A209" r:id="rId_hyperlink_370"/>
    <hyperlink ref="C209" r:id="rId_hyperlink_371"/>
    <hyperlink ref="A210" r:id="rId_hyperlink_372"/>
    <hyperlink ref="C210" r:id="rId_hyperlink_373"/>
    <hyperlink ref="A211" r:id="rId_hyperlink_374"/>
    <hyperlink ref="C211" r:id="rId_hyperlink_375"/>
    <hyperlink ref="A212" r:id="rId_hyperlink_376"/>
    <hyperlink ref="C212" r:id="rId_hyperlink_377"/>
    <hyperlink ref="A213" r:id="rId_hyperlink_378"/>
    <hyperlink ref="C213" r:id="rId_hyperlink_379"/>
    <hyperlink ref="A214" r:id="rId_hyperlink_380"/>
    <hyperlink ref="C214" r:id="rId_hyperlink_381"/>
    <hyperlink ref="A215" r:id="rId_hyperlink_382"/>
    <hyperlink ref="C215" r:id="rId_hyperlink_383"/>
    <hyperlink ref="A216" r:id="rId_hyperlink_384"/>
    <hyperlink ref="C216" r:id="rId_hyperlink_385"/>
    <hyperlink ref="A217" r:id="rId_hyperlink_386"/>
    <hyperlink ref="C217" r:id="rId_hyperlink_387"/>
    <hyperlink ref="A218" r:id="rId_hyperlink_388"/>
    <hyperlink ref="C218" r:id="rId_hyperlink_389"/>
    <hyperlink ref="A219" r:id="rId_hyperlink_390"/>
    <hyperlink ref="C219" r:id="rId_hyperlink_391"/>
    <hyperlink ref="A220" r:id="rId_hyperlink_392"/>
    <hyperlink ref="A221" r:id="rId_hyperlink_393"/>
    <hyperlink ref="A222" r:id="rId_hyperlink_394"/>
    <hyperlink ref="C222" r:id="rId_hyperlink_395"/>
    <hyperlink ref="A223" r:id="rId_hyperlink_396"/>
    <hyperlink ref="C223" r:id="rId_hyperlink_397"/>
    <hyperlink ref="A224" r:id="rId_hyperlink_398"/>
    <hyperlink ref="C224" r:id="rId_hyperlink_399"/>
    <hyperlink ref="A225" r:id="rId_hyperlink_400"/>
    <hyperlink ref="C225" r:id="rId_hyperlink_401"/>
    <hyperlink ref="A226" r:id="rId_hyperlink_402"/>
    <hyperlink ref="C226" r:id="rId_hyperlink_403"/>
    <hyperlink ref="A227" r:id="rId_hyperlink_404"/>
    <hyperlink ref="C227" r:id="rId_hyperlink_405"/>
    <hyperlink ref="A228" r:id="rId_hyperlink_406"/>
    <hyperlink ref="C228" r:id="rId_hyperlink_407"/>
    <hyperlink ref="A229" r:id="rId_hyperlink_408"/>
    <hyperlink ref="C229" r:id="rId_hyperlink_409"/>
    <hyperlink ref="A230" r:id="rId_hyperlink_410"/>
    <hyperlink ref="C230" r:id="rId_hyperlink_411"/>
    <hyperlink ref="A231" r:id="rId_hyperlink_412"/>
    <hyperlink ref="C231" r:id="rId_hyperlink_413"/>
    <hyperlink ref="A232" r:id="rId_hyperlink_414"/>
    <hyperlink ref="C232" r:id="rId_hyperlink_415"/>
    <hyperlink ref="A233" r:id="rId_hyperlink_416"/>
    <hyperlink ref="C233" r:id="rId_hyperlink_417"/>
    <hyperlink ref="A234" r:id="rId_hyperlink_418"/>
    <hyperlink ref="C234" r:id="rId_hyperlink_419"/>
    <hyperlink ref="A235" r:id="rId_hyperlink_420"/>
    <hyperlink ref="C235" r:id="rId_hyperlink_421"/>
    <hyperlink ref="A236" r:id="rId_hyperlink_422"/>
    <hyperlink ref="C236" r:id="rId_hyperlink_423"/>
    <hyperlink ref="A237" r:id="rId_hyperlink_424"/>
    <hyperlink ref="C237" r:id="rId_hyperlink_425"/>
    <hyperlink ref="A238" r:id="rId_hyperlink_426"/>
    <hyperlink ref="C238" r:id="rId_hyperlink_427"/>
    <hyperlink ref="A239" r:id="rId_hyperlink_428"/>
    <hyperlink ref="C239" r:id="rId_hyperlink_429"/>
    <hyperlink ref="A240" r:id="rId_hyperlink_430"/>
    <hyperlink ref="C240" r:id="rId_hyperlink_431"/>
    <hyperlink ref="A241" r:id="rId_hyperlink_432"/>
    <hyperlink ref="C241" r:id="rId_hyperlink_433"/>
    <hyperlink ref="A242" r:id="rId_hyperlink_434"/>
    <hyperlink ref="C242" r:id="rId_hyperlink_435"/>
    <hyperlink ref="A243" r:id="rId_hyperlink_436"/>
    <hyperlink ref="C243" r:id="rId_hyperlink_437"/>
    <hyperlink ref="A244" r:id="rId_hyperlink_438"/>
    <hyperlink ref="C244" r:id="rId_hyperlink_439"/>
    <hyperlink ref="A245" r:id="rId_hyperlink_440"/>
    <hyperlink ref="C245" r:id="rId_hyperlink_441"/>
    <hyperlink ref="A246" r:id="rId_hyperlink_442"/>
    <hyperlink ref="C246" r:id="rId_hyperlink_443"/>
    <hyperlink ref="A247" r:id="rId_hyperlink_444"/>
    <hyperlink ref="C247" r:id="rId_hyperlink_445"/>
    <hyperlink ref="A248" r:id="rId_hyperlink_446"/>
    <hyperlink ref="C248" r:id="rId_hyperlink_447"/>
    <hyperlink ref="A249" r:id="rId_hyperlink_448"/>
    <hyperlink ref="C249" r:id="rId_hyperlink_449"/>
    <hyperlink ref="A253" r:id="rId_hyperlink_450"/>
    <hyperlink ref="C253" r:id="rId_hyperlink_451"/>
    <hyperlink ref="A254" r:id="rId_hyperlink_452"/>
    <hyperlink ref="C254" r:id="rId_hyperlink_453"/>
    <hyperlink ref="A255" r:id="rId_hyperlink_454"/>
    <hyperlink ref="A256" r:id="rId_hyperlink_455"/>
    <hyperlink ref="A260" r:id="rId_hyperlink_456"/>
    <hyperlink ref="C260" r:id="rId_hyperlink_457"/>
    <hyperlink ref="A261" r:id="rId_hyperlink_458"/>
    <hyperlink ref="C261" r:id="rId_hyperlink_459"/>
    <hyperlink ref="A262" r:id="rId_hyperlink_460"/>
    <hyperlink ref="C262" r:id="rId_hyperlink_461"/>
    <hyperlink ref="A263" r:id="rId_hyperlink_462"/>
    <hyperlink ref="C263" r:id="rId_hyperlink_463"/>
    <hyperlink ref="A264" r:id="rId_hyperlink_464"/>
    <hyperlink ref="A265" r:id="rId_hyperlink_465"/>
    <hyperlink ref="A266" r:id="rId_hyperlink_466"/>
    <hyperlink ref="A267" r:id="rId_hyperlink_467"/>
    <hyperlink ref="A268" r:id="rId_hyperlink_468"/>
    <hyperlink ref="A269" r:id="rId_hyperlink_469"/>
    <hyperlink ref="A270" r:id="rId_hyperlink_470"/>
    <hyperlink ref="A271" r:id="rId_hyperlink_471"/>
    <hyperlink ref="A272" r:id="rId_hyperlink_472"/>
    <hyperlink ref="A273" r:id="rId_hyperlink_473"/>
    <hyperlink ref="A274" r:id="rId_hyperlink_474"/>
    <hyperlink ref="C274" r:id="rId_hyperlink_475"/>
    <hyperlink ref="A275" r:id="rId_hyperlink_476"/>
    <hyperlink ref="C275" r:id="rId_hyperlink_477"/>
    <hyperlink ref="A276" r:id="rId_hyperlink_478"/>
    <hyperlink ref="C276" r:id="rId_hyperlink_479"/>
    <hyperlink ref="A277" r:id="rId_hyperlink_480"/>
    <hyperlink ref="C277" r:id="rId_hyperlink_481"/>
    <hyperlink ref="A278" r:id="rId_hyperlink_482"/>
    <hyperlink ref="C278" r:id="rId_hyperlink_483"/>
    <hyperlink ref="A279" r:id="rId_hyperlink_484"/>
    <hyperlink ref="A280" r:id="rId_hyperlink_485"/>
    <hyperlink ref="A281" r:id="rId_hyperlink_486"/>
    <hyperlink ref="A282" r:id="rId_hyperlink_487"/>
    <hyperlink ref="C282" r:id="rId_hyperlink_488"/>
    <hyperlink ref="A283" r:id="rId_hyperlink_489"/>
    <hyperlink ref="C283" r:id="rId_hyperlink_490"/>
    <hyperlink ref="A284" r:id="rId_hyperlink_491"/>
    <hyperlink ref="C284" r:id="rId_hyperlink_492"/>
    <hyperlink ref="A285" r:id="rId_hyperlink_493"/>
    <hyperlink ref="C285" r:id="rId_hyperlink_494"/>
    <hyperlink ref="A286" r:id="rId_hyperlink_495"/>
    <hyperlink ref="C286" r:id="rId_hyperlink_496"/>
    <hyperlink ref="A287" r:id="rId_hyperlink_497"/>
    <hyperlink ref="C287" r:id="rId_hyperlink_498"/>
    <hyperlink ref="A288" r:id="rId_hyperlink_499"/>
    <hyperlink ref="A289" r:id="rId_hyperlink_500"/>
    <hyperlink ref="A290" r:id="rId_hyperlink_501"/>
    <hyperlink ref="A291" r:id="rId_hyperlink_502"/>
    <hyperlink ref="A292" r:id="rId_hyperlink_503"/>
    <hyperlink ref="A293" r:id="rId_hyperlink_504"/>
    <hyperlink ref="A294" r:id="rId_hyperlink_505"/>
    <hyperlink ref="A295" r:id="rId_hyperlink_506"/>
    <hyperlink ref="A296" r:id="rId_hyperlink_507"/>
    <hyperlink ref="A297" r:id="rId_hyperlink_508"/>
    <hyperlink ref="A298" r:id="rId_hyperlink_509"/>
    <hyperlink ref="A299" r:id="rId_hyperlink_510"/>
    <hyperlink ref="C299" r:id="rId_hyperlink_511"/>
    <hyperlink ref="A300" r:id="rId_hyperlink_512"/>
    <hyperlink ref="C300" r:id="rId_hyperlink_513"/>
    <hyperlink ref="A301" r:id="rId_hyperlink_514"/>
    <hyperlink ref="C301" r:id="rId_hyperlink_515"/>
    <hyperlink ref="A302" r:id="rId_hyperlink_516"/>
    <hyperlink ref="A303" r:id="rId_hyperlink_517"/>
    <hyperlink ref="A304" r:id="rId_hyperlink_518"/>
    <hyperlink ref="C304" r:id="rId_hyperlink_519"/>
    <hyperlink ref="A308" r:id="rId_hyperlink_520"/>
    <hyperlink ref="A309" r:id="rId_hyperlink_521"/>
    <hyperlink ref="A310" r:id="rId_hyperlink_522"/>
    <hyperlink ref="C310" r:id="rId_hyperlink_523"/>
    <hyperlink ref="A311" r:id="rId_hyperlink_524"/>
    <hyperlink ref="C311" r:id="rId_hyperlink_525"/>
    <hyperlink ref="A312" r:id="rId_hyperlink_526"/>
    <hyperlink ref="A313" r:id="rId_hyperlink_527"/>
    <hyperlink ref="C313" r:id="rId_hyperlink_528"/>
    <hyperlink ref="A314" r:id="rId_hyperlink_529"/>
    <hyperlink ref="C314" r:id="rId_hyperlink_530"/>
    <hyperlink ref="A315" r:id="rId_hyperlink_531"/>
    <hyperlink ref="C315" r:id="rId_hyperlink_532"/>
    <hyperlink ref="A316" r:id="rId_hyperlink_533"/>
    <hyperlink ref="C316" r:id="rId_hyperlink_534"/>
    <hyperlink ref="A317" r:id="rId_hyperlink_535"/>
    <hyperlink ref="C317" r:id="rId_hyperlink_536"/>
    <hyperlink ref="A318" r:id="rId_hyperlink_537"/>
    <hyperlink ref="C318" r:id="rId_hyperlink_538"/>
    <hyperlink ref="A319" r:id="rId_hyperlink_539"/>
    <hyperlink ref="A320" r:id="rId_hyperlink_540"/>
    <hyperlink ref="A321" r:id="rId_hyperlink_541"/>
    <hyperlink ref="C321" r:id="rId_hyperlink_542"/>
    <hyperlink ref="A322" r:id="rId_hyperlink_543"/>
    <hyperlink ref="C322" r:id="rId_hyperlink_544"/>
    <hyperlink ref="A323" r:id="rId_hyperlink_545"/>
    <hyperlink ref="C323" r:id="rId_hyperlink_546"/>
    <hyperlink ref="A324" r:id="rId_hyperlink_547"/>
    <hyperlink ref="C324" r:id="rId_hyperlink_548"/>
    <hyperlink ref="A325" r:id="rId_hyperlink_549"/>
    <hyperlink ref="C325" r:id="rId_hyperlink_550"/>
    <hyperlink ref="A326" r:id="rId_hyperlink_551"/>
    <hyperlink ref="C326" r:id="rId_hyperlink_552"/>
    <hyperlink ref="A327" r:id="rId_hyperlink_553"/>
    <hyperlink ref="C327" r:id="rId_hyperlink_554"/>
    <hyperlink ref="A328" r:id="rId_hyperlink_555"/>
    <hyperlink ref="A329" r:id="rId_hyperlink_556"/>
    <hyperlink ref="C329" r:id="rId_hyperlink_557"/>
    <hyperlink ref="A330" r:id="rId_hyperlink_558"/>
    <hyperlink ref="A331" r:id="rId_hyperlink_559"/>
    <hyperlink ref="C331" r:id="rId_hyperlink_560"/>
    <hyperlink ref="A332" r:id="rId_hyperlink_561"/>
    <hyperlink ref="C332" r:id="rId_hyperlink_562"/>
    <hyperlink ref="A333" r:id="rId_hyperlink_563"/>
    <hyperlink ref="C333" r:id="rId_hyperlink_564"/>
    <hyperlink ref="A334" r:id="rId_hyperlink_565"/>
    <hyperlink ref="C334" r:id="rId_hyperlink_566"/>
    <hyperlink ref="A335" r:id="rId_hyperlink_567"/>
    <hyperlink ref="C335" r:id="rId_hyperlink_568"/>
    <hyperlink ref="A336" r:id="rId_hyperlink_569"/>
    <hyperlink ref="C336" r:id="rId_hyperlink_570"/>
    <hyperlink ref="A337" r:id="rId_hyperlink_571"/>
    <hyperlink ref="C337" r:id="rId_hyperlink_572"/>
    <hyperlink ref="A338" r:id="rId_hyperlink_573"/>
    <hyperlink ref="A339" r:id="rId_hyperlink_574"/>
    <hyperlink ref="C339" r:id="rId_hyperlink_575"/>
    <hyperlink ref="A340" r:id="rId_hyperlink_576"/>
    <hyperlink ref="C340" r:id="rId_hyperlink_577"/>
    <hyperlink ref="A341" r:id="rId_hyperlink_578"/>
    <hyperlink ref="C341" r:id="rId_hyperlink_579"/>
    <hyperlink ref="A342" r:id="rId_hyperlink_580"/>
    <hyperlink ref="C342" r:id="rId_hyperlink_581"/>
    <hyperlink ref="A343" r:id="rId_hyperlink_582"/>
    <hyperlink ref="C343" r:id="rId_hyperlink_583"/>
    <hyperlink ref="A344" r:id="rId_hyperlink_584"/>
    <hyperlink ref="C344" r:id="rId_hyperlink_585"/>
    <hyperlink ref="A348" r:id="rId_hyperlink_586"/>
    <hyperlink ref="C348" r:id="rId_hyperlink_587"/>
    <hyperlink ref="A349" r:id="rId_hyperlink_588"/>
    <hyperlink ref="C349" r:id="rId_hyperlink_589"/>
    <hyperlink ref="A350" r:id="rId_hyperlink_590"/>
    <hyperlink ref="C350" r:id="rId_hyperlink_591"/>
    <hyperlink ref="A351" r:id="rId_hyperlink_592"/>
    <hyperlink ref="C351" r:id="rId_hyperlink_593"/>
    <hyperlink ref="A352" r:id="rId_hyperlink_594"/>
    <hyperlink ref="C352" r:id="rId_hyperlink_595"/>
    <hyperlink ref="A353" r:id="rId_hyperlink_596"/>
    <hyperlink ref="A354" r:id="rId_hyperlink_597"/>
    <hyperlink ref="C354" r:id="rId_hyperlink_598"/>
    <hyperlink ref="A355" r:id="rId_hyperlink_599"/>
    <hyperlink ref="C355" r:id="rId_hyperlink_600"/>
    <hyperlink ref="A356" r:id="rId_hyperlink_601"/>
    <hyperlink ref="C356" r:id="rId_hyperlink_602"/>
    <hyperlink ref="A357" r:id="rId_hyperlink_603"/>
    <hyperlink ref="C357" r:id="rId_hyperlink_604"/>
    <hyperlink ref="A358" r:id="rId_hyperlink_605"/>
    <hyperlink ref="C358" r:id="rId_hyperlink_606"/>
    <hyperlink ref="A359" r:id="rId_hyperlink_607"/>
    <hyperlink ref="C359" r:id="rId_hyperlink_608"/>
    <hyperlink ref="A360" r:id="rId_hyperlink_609"/>
    <hyperlink ref="C360" r:id="rId_hyperlink_610"/>
    <hyperlink ref="A361" r:id="rId_hyperlink_611"/>
    <hyperlink ref="C361" r:id="rId_hyperlink_612"/>
    <hyperlink ref="A362" r:id="rId_hyperlink_613"/>
    <hyperlink ref="C362" r:id="rId_hyperlink_614"/>
    <hyperlink ref="A366" r:id="rId_hyperlink_615"/>
    <hyperlink ref="C366" r:id="rId_hyperlink_616"/>
    <hyperlink ref="A367" r:id="rId_hyperlink_617"/>
    <hyperlink ref="C367" r:id="rId_hyperlink_618"/>
    <hyperlink ref="A368" r:id="rId_hyperlink_619"/>
    <hyperlink ref="C368" r:id="rId_hyperlink_620"/>
    <hyperlink ref="A369" r:id="rId_hyperlink_621"/>
    <hyperlink ref="C369" r:id="rId_hyperlink_622"/>
    <hyperlink ref="A370" r:id="rId_hyperlink_623"/>
    <hyperlink ref="C370" r:id="rId_hyperlink_624"/>
    <hyperlink ref="A371" r:id="rId_hyperlink_625"/>
    <hyperlink ref="C371" r:id="rId_hyperlink_626"/>
    <hyperlink ref="A372" r:id="rId_hyperlink_627"/>
    <hyperlink ref="C372" r:id="rId_hyperlink_628"/>
    <hyperlink ref="A373" r:id="rId_hyperlink_629"/>
    <hyperlink ref="C373" r:id="rId_hyperlink_630"/>
    <hyperlink ref="A374" r:id="rId_hyperlink_631"/>
    <hyperlink ref="A375" r:id="rId_hyperlink_632"/>
    <hyperlink ref="C375" r:id="rId_hyperlink_633"/>
    <hyperlink ref="A376" r:id="rId_hyperlink_634"/>
    <hyperlink ref="C376" r:id="rId_hyperlink_635"/>
    <hyperlink ref="A377" r:id="rId_hyperlink_636"/>
    <hyperlink ref="C377" r:id="rId_hyperlink_637"/>
    <hyperlink ref="A378" r:id="rId_hyperlink_638"/>
    <hyperlink ref="C378" r:id="rId_hyperlink_639"/>
    <hyperlink ref="A379" r:id="rId_hyperlink_640"/>
    <hyperlink ref="C379" r:id="rId_hyperlink_641"/>
    <hyperlink ref="A380" r:id="rId_hyperlink_642"/>
    <hyperlink ref="C380" r:id="rId_hyperlink_643"/>
    <hyperlink ref="A381" r:id="rId_hyperlink_644"/>
    <hyperlink ref="C381" r:id="rId_hyperlink_645"/>
    <hyperlink ref="A382" r:id="rId_hyperlink_646"/>
    <hyperlink ref="C382" r:id="rId_hyperlink_647"/>
    <hyperlink ref="A383" r:id="rId_hyperlink_648"/>
    <hyperlink ref="C383" r:id="rId_hyperlink_649"/>
    <hyperlink ref="A384" r:id="rId_hyperlink_650"/>
    <hyperlink ref="C384" r:id="rId_hyperlink_651"/>
    <hyperlink ref="A385" r:id="rId_hyperlink_652"/>
    <hyperlink ref="C385" r:id="rId_hyperlink_653"/>
    <hyperlink ref="A386" r:id="rId_hyperlink_654"/>
    <hyperlink ref="C386" r:id="rId_hyperlink_655"/>
    <hyperlink ref="A387" r:id="rId_hyperlink_656"/>
    <hyperlink ref="C387" r:id="rId_hyperlink_657"/>
    <hyperlink ref="A388" r:id="rId_hyperlink_658"/>
    <hyperlink ref="C388" r:id="rId_hyperlink_659"/>
    <hyperlink ref="A389" r:id="rId_hyperlink_660"/>
    <hyperlink ref="C389" r:id="rId_hyperlink_661"/>
    <hyperlink ref="A390" r:id="rId_hyperlink_662"/>
    <hyperlink ref="C390" r:id="rId_hyperlink_663"/>
    <hyperlink ref="A391" r:id="rId_hyperlink_664"/>
    <hyperlink ref="C391" r:id="rId_hyperlink_665"/>
    <hyperlink ref="A392" r:id="rId_hyperlink_666"/>
    <hyperlink ref="C392" r:id="rId_hyperlink_667"/>
    <hyperlink ref="A393" r:id="rId_hyperlink_668"/>
    <hyperlink ref="C393" r:id="rId_hyperlink_669"/>
    <hyperlink ref="A394" r:id="rId_hyperlink_670"/>
    <hyperlink ref="C394" r:id="rId_hyperlink_671"/>
    <hyperlink ref="A395" r:id="rId_hyperlink_672"/>
    <hyperlink ref="C395" r:id="rId_hyperlink_673"/>
    <hyperlink ref="A396" r:id="rId_hyperlink_674"/>
    <hyperlink ref="C396" r:id="rId_hyperlink_675"/>
    <hyperlink ref="A397" r:id="rId_hyperlink_676"/>
    <hyperlink ref="C397" r:id="rId_hyperlink_677"/>
    <hyperlink ref="A398" r:id="rId_hyperlink_678"/>
    <hyperlink ref="C398" r:id="rId_hyperlink_679"/>
    <hyperlink ref="A399" r:id="rId_hyperlink_680"/>
    <hyperlink ref="C399" r:id="rId_hyperlink_681"/>
    <hyperlink ref="A400" r:id="rId_hyperlink_682"/>
    <hyperlink ref="C400" r:id="rId_hyperlink_683"/>
    <hyperlink ref="A401" r:id="rId_hyperlink_684"/>
    <hyperlink ref="C401" r:id="rId_hyperlink_685"/>
    <hyperlink ref="A402" r:id="rId_hyperlink_686"/>
    <hyperlink ref="C402" r:id="rId_hyperlink_687"/>
    <hyperlink ref="A403" r:id="rId_hyperlink_688"/>
    <hyperlink ref="C403" r:id="rId_hyperlink_689"/>
    <hyperlink ref="A407" r:id="rId_hyperlink_690"/>
    <hyperlink ref="A408" r:id="rId_hyperlink_691"/>
    <hyperlink ref="A409" r:id="rId_hyperlink_692"/>
    <hyperlink ref="A410" r:id="rId_hyperlink_693"/>
    <hyperlink ref="A411" r:id="rId_hyperlink_694"/>
    <hyperlink ref="A412" r:id="rId_hyperlink_695"/>
    <hyperlink ref="A413" r:id="rId_hyperlink_696"/>
    <hyperlink ref="A414" r:id="rId_hyperlink_697"/>
    <hyperlink ref="A415" r:id="rId_hyperlink_698"/>
    <hyperlink ref="A416" r:id="rId_hyperlink_699"/>
    <hyperlink ref="A417" r:id="rId_hyperlink_700"/>
    <hyperlink ref="A418" r:id="rId_hyperlink_701"/>
    <hyperlink ref="A419" r:id="rId_hyperlink_702"/>
    <hyperlink ref="A420" r:id="rId_hyperlink_703"/>
    <hyperlink ref="A421" r:id="rId_hyperlink_704"/>
    <hyperlink ref="A422" r:id="rId_hyperlink_705"/>
    <hyperlink ref="A423" r:id="rId_hyperlink_706"/>
    <hyperlink ref="C423" r:id="rId_hyperlink_707"/>
    <hyperlink ref="A424" r:id="rId_hyperlink_708"/>
    <hyperlink ref="C424" r:id="rId_hyperlink_709"/>
    <hyperlink ref="A425" r:id="rId_hyperlink_710"/>
    <hyperlink ref="C425" r:id="rId_hyperlink_711"/>
    <hyperlink ref="A426" r:id="rId_hyperlink_712"/>
    <hyperlink ref="C426" r:id="rId_hyperlink_713"/>
    <hyperlink ref="A427" r:id="rId_hyperlink_714"/>
    <hyperlink ref="A428" r:id="rId_hyperlink_715"/>
    <hyperlink ref="C428" r:id="rId_hyperlink_716"/>
    <hyperlink ref="A432" r:id="rId_hyperlink_717"/>
    <hyperlink ref="C432" r:id="rId_hyperlink_718"/>
    <hyperlink ref="A433" r:id="rId_hyperlink_719"/>
    <hyperlink ref="C433" r:id="rId_hyperlink_720"/>
    <hyperlink ref="A434" r:id="rId_hyperlink_721"/>
    <hyperlink ref="C434" r:id="rId_hyperlink_722"/>
    <hyperlink ref="A435" r:id="rId_hyperlink_723"/>
    <hyperlink ref="C435" r:id="rId_hyperlink_724"/>
    <hyperlink ref="A436" r:id="rId_hyperlink_725"/>
    <hyperlink ref="C436" r:id="rId_hyperlink_726"/>
    <hyperlink ref="A437" r:id="rId_hyperlink_727"/>
    <hyperlink ref="C437" r:id="rId_hyperlink_728"/>
    <hyperlink ref="A438" r:id="rId_hyperlink_729"/>
    <hyperlink ref="C438" r:id="rId_hyperlink_730"/>
    <hyperlink ref="A439" r:id="rId_hyperlink_731"/>
    <hyperlink ref="C439" r:id="rId_hyperlink_732"/>
    <hyperlink ref="A440" r:id="rId_hyperlink_733"/>
    <hyperlink ref="C440" r:id="rId_hyperlink_734"/>
    <hyperlink ref="A441" r:id="rId_hyperlink_735"/>
    <hyperlink ref="C441" r:id="rId_hyperlink_736"/>
    <hyperlink ref="A442" r:id="rId_hyperlink_737"/>
    <hyperlink ref="A443" r:id="rId_hyperlink_738"/>
    <hyperlink ref="A444" r:id="rId_hyperlink_739"/>
    <hyperlink ref="A445" r:id="rId_hyperlink_740"/>
    <hyperlink ref="A446" r:id="rId_hyperlink_741"/>
    <hyperlink ref="A447" r:id="rId_hyperlink_742"/>
    <hyperlink ref="A448" r:id="rId_hyperlink_743"/>
    <hyperlink ref="A449" r:id="rId_hyperlink_744"/>
    <hyperlink ref="A450" r:id="rId_hyperlink_745"/>
    <hyperlink ref="A454" r:id="rId_hyperlink_746"/>
    <hyperlink ref="A455" r:id="rId_hyperlink_747"/>
    <hyperlink ref="A456" r:id="rId_hyperlink_748"/>
    <hyperlink ref="C456" r:id="rId_hyperlink_749"/>
    <hyperlink ref="A457" r:id="rId_hyperlink_750"/>
    <hyperlink ref="C457" r:id="rId_hyperlink_751"/>
    <hyperlink ref="A458" r:id="rId_hyperlink_752"/>
    <hyperlink ref="C458" r:id="rId_hyperlink_753"/>
    <hyperlink ref="A459" r:id="rId_hyperlink_754"/>
    <hyperlink ref="C459" r:id="rId_hyperlink_755"/>
    <hyperlink ref="A460" r:id="rId_hyperlink_756"/>
    <hyperlink ref="C460" r:id="rId_hyperlink_757"/>
    <hyperlink ref="A461" r:id="rId_hyperlink_758"/>
    <hyperlink ref="C461" r:id="rId_hyperlink_759"/>
    <hyperlink ref="A462" r:id="rId_hyperlink_760"/>
    <hyperlink ref="C462" r:id="rId_hyperlink_761"/>
    <hyperlink ref="A463" r:id="rId_hyperlink_762"/>
    <hyperlink ref="C463" r:id="rId_hyperlink_763"/>
    <hyperlink ref="A464" r:id="rId_hyperlink_764"/>
    <hyperlink ref="C464" r:id="rId_hyperlink_765"/>
    <hyperlink ref="A465" r:id="rId_hyperlink_766"/>
    <hyperlink ref="C465" r:id="rId_hyperlink_767"/>
    <hyperlink ref="A466" r:id="rId_hyperlink_768"/>
    <hyperlink ref="C466" r:id="rId_hyperlink_769"/>
    <hyperlink ref="A467" r:id="rId_hyperlink_770"/>
    <hyperlink ref="C467" r:id="rId_hyperlink_771"/>
    <hyperlink ref="A468" r:id="rId_hyperlink_772"/>
    <hyperlink ref="C468" r:id="rId_hyperlink_773"/>
    <hyperlink ref="A469" r:id="rId_hyperlink_774"/>
    <hyperlink ref="C469" r:id="rId_hyperlink_775"/>
    <hyperlink ref="A470" r:id="rId_hyperlink_776"/>
    <hyperlink ref="C470" r:id="rId_hyperlink_777"/>
    <hyperlink ref="A471" r:id="rId_hyperlink_778"/>
    <hyperlink ref="C471" r:id="rId_hyperlink_779"/>
    <hyperlink ref="A472" r:id="rId_hyperlink_780"/>
    <hyperlink ref="C472" r:id="rId_hyperlink_781"/>
    <hyperlink ref="A473" r:id="rId_hyperlink_782"/>
    <hyperlink ref="C473" r:id="rId_hyperlink_783"/>
    <hyperlink ref="A474" r:id="rId_hyperlink_784"/>
    <hyperlink ref="C474" r:id="rId_hyperlink_785"/>
    <hyperlink ref="A475" r:id="rId_hyperlink_786"/>
    <hyperlink ref="C475" r:id="rId_hyperlink_787"/>
    <hyperlink ref="A476" r:id="rId_hyperlink_788"/>
    <hyperlink ref="C476" r:id="rId_hyperlink_789"/>
    <hyperlink ref="A477" r:id="rId_hyperlink_790"/>
    <hyperlink ref="C477" r:id="rId_hyperlink_791"/>
    <hyperlink ref="A478" r:id="rId_hyperlink_792"/>
    <hyperlink ref="C478" r:id="rId_hyperlink_793"/>
    <hyperlink ref="A479" r:id="rId_hyperlink_794"/>
    <hyperlink ref="C479" r:id="rId_hyperlink_795"/>
    <hyperlink ref="A480" r:id="rId_hyperlink_796"/>
    <hyperlink ref="C480" r:id="rId_hyperlink_797"/>
    <hyperlink ref="A481" r:id="rId_hyperlink_798"/>
    <hyperlink ref="C481" r:id="rId_hyperlink_799"/>
    <hyperlink ref="A482" r:id="rId_hyperlink_800"/>
    <hyperlink ref="A483" r:id="rId_hyperlink_801"/>
    <hyperlink ref="C483" r:id="rId_hyperlink_802"/>
    <hyperlink ref="A484" r:id="rId_hyperlink_803"/>
    <hyperlink ref="C484" r:id="rId_hyperlink_804"/>
    <hyperlink ref="A485" r:id="rId_hyperlink_805"/>
    <hyperlink ref="C485" r:id="rId_hyperlink_806"/>
    <hyperlink ref="A486" r:id="rId_hyperlink_807"/>
    <hyperlink ref="C486" r:id="rId_hyperlink_808"/>
    <hyperlink ref="A487" r:id="rId_hyperlink_809"/>
    <hyperlink ref="C487" r:id="rId_hyperlink_810"/>
    <hyperlink ref="A488" r:id="rId_hyperlink_811"/>
    <hyperlink ref="C488" r:id="rId_hyperlink_812"/>
    <hyperlink ref="A489" r:id="rId_hyperlink_813"/>
    <hyperlink ref="C489" r:id="rId_hyperlink_814"/>
    <hyperlink ref="A490" r:id="rId_hyperlink_815"/>
    <hyperlink ref="C490" r:id="rId_hyperlink_816"/>
    <hyperlink ref="A491" r:id="rId_hyperlink_817"/>
    <hyperlink ref="C491" r:id="rId_hyperlink_818"/>
    <hyperlink ref="A492" r:id="rId_hyperlink_819"/>
    <hyperlink ref="C492" r:id="rId_hyperlink_820"/>
    <hyperlink ref="A493" r:id="rId_hyperlink_821"/>
    <hyperlink ref="C493" r:id="rId_hyperlink_822"/>
    <hyperlink ref="A494" r:id="rId_hyperlink_823"/>
    <hyperlink ref="C494" r:id="rId_hyperlink_824"/>
    <hyperlink ref="A495" r:id="rId_hyperlink_825"/>
    <hyperlink ref="C495" r:id="rId_hyperlink_826"/>
    <hyperlink ref="A496" r:id="rId_hyperlink_827"/>
    <hyperlink ref="C496" r:id="rId_hyperlink_828"/>
    <hyperlink ref="A497" r:id="rId_hyperlink_829"/>
    <hyperlink ref="C497" r:id="rId_hyperlink_830"/>
    <hyperlink ref="A498" r:id="rId_hyperlink_831"/>
    <hyperlink ref="C498" r:id="rId_hyperlink_832"/>
    <hyperlink ref="A499" r:id="rId_hyperlink_833"/>
    <hyperlink ref="A500" r:id="rId_hyperlink_834"/>
    <hyperlink ref="A501" r:id="rId_hyperlink_835"/>
    <hyperlink ref="A502" r:id="rId_hyperlink_836"/>
    <hyperlink ref="C502" r:id="rId_hyperlink_837"/>
    <hyperlink ref="A506" r:id="rId_hyperlink_838"/>
    <hyperlink ref="C506" r:id="rId_hyperlink_839"/>
    <hyperlink ref="A507" r:id="rId_hyperlink_840"/>
    <hyperlink ref="C507" r:id="rId_hyperlink_841"/>
    <hyperlink ref="A508" r:id="rId_hyperlink_842"/>
    <hyperlink ref="C508" r:id="rId_hyperlink_843"/>
    <hyperlink ref="A509" r:id="rId_hyperlink_844"/>
    <hyperlink ref="C509" r:id="rId_hyperlink_845"/>
    <hyperlink ref="A510" r:id="rId_hyperlink_846"/>
    <hyperlink ref="C510" r:id="rId_hyperlink_847"/>
    <hyperlink ref="A511" r:id="rId_hyperlink_848"/>
    <hyperlink ref="A512" r:id="rId_hyperlink_849"/>
    <hyperlink ref="C512" r:id="rId_hyperlink_850"/>
    <hyperlink ref="A513" r:id="rId_hyperlink_851"/>
    <hyperlink ref="C513" r:id="rId_hyperlink_852"/>
    <hyperlink ref="A517" r:id="rId_hyperlink_853"/>
    <hyperlink ref="C517" r:id="rId_hyperlink_854"/>
    <hyperlink ref="A518" r:id="rId_hyperlink_855"/>
    <hyperlink ref="C518" r:id="rId_hyperlink_856"/>
    <hyperlink ref="A519" r:id="rId_hyperlink_857"/>
    <hyperlink ref="C519" r:id="rId_hyperlink_858"/>
    <hyperlink ref="A520" r:id="rId_hyperlink_859"/>
    <hyperlink ref="C520" r:id="rId_hyperlink_860"/>
    <hyperlink ref="A521" r:id="rId_hyperlink_861"/>
    <hyperlink ref="C521" r:id="rId_hyperlink_862"/>
    <hyperlink ref="A525" r:id="rId_hyperlink_863"/>
    <hyperlink ref="A526" r:id="rId_hyperlink_864"/>
    <hyperlink ref="A527" r:id="rId_hyperlink_865"/>
    <hyperlink ref="A528" r:id="rId_hyperlink_866"/>
    <hyperlink ref="A529" r:id="rId_hyperlink_867"/>
    <hyperlink ref="A530" r:id="rId_hyperlink_868"/>
    <hyperlink ref="A531" r:id="rId_hyperlink_869"/>
    <hyperlink ref="A532" r:id="rId_hyperlink_870"/>
    <hyperlink ref="A533" r:id="rId_hyperlink_871"/>
    <hyperlink ref="A534" r:id="rId_hyperlink_872"/>
    <hyperlink ref="A535" r:id="rId_hyperlink_873"/>
    <hyperlink ref="A536" r:id="rId_hyperlink_874"/>
    <hyperlink ref="A537" r:id="rId_hyperlink_875"/>
    <hyperlink ref="A538" r:id="rId_hyperlink_876"/>
    <hyperlink ref="A539" r:id="rId_hyperlink_877"/>
    <hyperlink ref="A540" r:id="rId_hyperlink_878"/>
    <hyperlink ref="A541" r:id="rId_hyperlink_879"/>
    <hyperlink ref="A542" r:id="rId_hyperlink_880"/>
    <hyperlink ref="A543" r:id="rId_hyperlink_881"/>
    <hyperlink ref="A544" r:id="rId_hyperlink_882"/>
    <hyperlink ref="A545" r:id="rId_hyperlink_883"/>
    <hyperlink ref="A546" r:id="rId_hyperlink_884"/>
    <hyperlink ref="A550" r:id="rId_hyperlink_885"/>
    <hyperlink ref="A551" r:id="rId_hyperlink_886"/>
    <hyperlink ref="A552" r:id="rId_hyperlink_887"/>
    <hyperlink ref="A553" r:id="rId_hyperlink_888"/>
    <hyperlink ref="A554" r:id="rId_hyperlink_889"/>
    <hyperlink ref="A555" r:id="rId_hyperlink_890"/>
    <hyperlink ref="A556" r:id="rId_hyperlink_891"/>
    <hyperlink ref="A557" r:id="rId_hyperlink_892"/>
    <hyperlink ref="A558" r:id="rId_hyperlink_893"/>
    <hyperlink ref="A559" r:id="rId_hyperlink_894"/>
    <hyperlink ref="A560" r:id="rId_hyperlink_895"/>
    <hyperlink ref="A561" r:id="rId_hyperlink_896"/>
    <hyperlink ref="A562" r:id="rId_hyperlink_897"/>
    <hyperlink ref="A563" r:id="rId_hyperlink_898"/>
    <hyperlink ref="A564" r:id="rId_hyperlink_899"/>
    <hyperlink ref="A565" r:id="rId_hyperlink_900"/>
    <hyperlink ref="A566" r:id="rId_hyperlink_901"/>
    <hyperlink ref="A567" r:id="rId_hyperlink_902"/>
    <hyperlink ref="A568" r:id="rId_hyperlink_903"/>
    <hyperlink ref="A569" r:id="rId_hyperlink_904"/>
    <hyperlink ref="A570" r:id="rId_hyperlink_905"/>
    <hyperlink ref="A571" r:id="rId_hyperlink_906"/>
    <hyperlink ref="A572" r:id="rId_hyperlink_907"/>
    <hyperlink ref="A573" r:id="rId_hyperlink_908"/>
    <hyperlink ref="A574" r:id="rId_hyperlink_909"/>
    <hyperlink ref="A575" r:id="rId_hyperlink_910"/>
    <hyperlink ref="A576" r:id="rId_hyperlink_911"/>
    <hyperlink ref="A577" r:id="rId_hyperlink_912"/>
    <hyperlink ref="A578" r:id="rId_hyperlink_913"/>
    <hyperlink ref="A579" r:id="rId_hyperlink_914"/>
    <hyperlink ref="A580" r:id="rId_hyperlink_915"/>
    <hyperlink ref="A581" r:id="rId_hyperlink_916"/>
    <hyperlink ref="A582" r:id="rId_hyperlink_917"/>
    <hyperlink ref="A583" r:id="rId_hyperlink_918"/>
    <hyperlink ref="A584" r:id="rId_hyperlink_919"/>
    <hyperlink ref="A585" r:id="rId_hyperlink_920"/>
    <hyperlink ref="A586" r:id="rId_hyperlink_921"/>
    <hyperlink ref="A587" r:id="rId_hyperlink_922"/>
    <hyperlink ref="A588" r:id="rId_hyperlink_923"/>
    <hyperlink ref="A589" r:id="rId_hyperlink_924"/>
    <hyperlink ref="A590" r:id="rId_hyperlink_925"/>
    <hyperlink ref="A591" r:id="rId_hyperlink_926"/>
    <hyperlink ref="A592" r:id="rId_hyperlink_927"/>
    <hyperlink ref="A593" r:id="rId_hyperlink_928"/>
    <hyperlink ref="A594" r:id="rId_hyperlink_929"/>
    <hyperlink ref="A595" r:id="rId_hyperlink_930"/>
    <hyperlink ref="A596" r:id="rId_hyperlink_931"/>
    <hyperlink ref="A597" r:id="rId_hyperlink_932"/>
    <hyperlink ref="A598" r:id="rId_hyperlink_933"/>
    <hyperlink ref="A599" r:id="rId_hyperlink_934"/>
    <hyperlink ref="A600" r:id="rId_hyperlink_935"/>
    <hyperlink ref="A601" r:id="rId_hyperlink_936"/>
    <hyperlink ref="A602" r:id="rId_hyperlink_937"/>
    <hyperlink ref="A603" r:id="rId_hyperlink_938"/>
    <hyperlink ref="A604" r:id="rId_hyperlink_939"/>
    <hyperlink ref="A605" r:id="rId_hyperlink_940"/>
    <hyperlink ref="A606" r:id="rId_hyperlink_941"/>
    <hyperlink ref="A607" r:id="rId_hyperlink_942"/>
    <hyperlink ref="A608" r:id="rId_hyperlink_943"/>
    <hyperlink ref="A609" r:id="rId_hyperlink_944"/>
    <hyperlink ref="A610" r:id="rId_hyperlink_945"/>
    <hyperlink ref="A611" r:id="rId_hyperlink_946"/>
    <hyperlink ref="A612" r:id="rId_hyperlink_947"/>
    <hyperlink ref="A613" r:id="rId_hyperlink_948"/>
    <hyperlink ref="A614" r:id="rId_hyperlink_949"/>
    <hyperlink ref="A618" r:id="rId_hyperlink_950"/>
    <hyperlink ref="A619" r:id="rId_hyperlink_951"/>
    <hyperlink ref="A620" r:id="rId_hyperlink_952"/>
    <hyperlink ref="A624" r:id="rId_hyperlink_953"/>
    <hyperlink ref="A625" r:id="rId_hyperlink_954"/>
    <hyperlink ref="A626" r:id="rId_hyperlink_955"/>
    <hyperlink ref="A630" r:id="rId_hyperlink_956"/>
    <hyperlink ref="A631" r:id="rId_hyperlink_957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www.bb-salut.ru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2025-12-16T03:28:01+03:00</dcterms:created>
  <dcterms:modified xsi:type="dcterms:W3CDTF">2025-12-16T03:28:01+03:00</dcterms:modified>
  <dc:title>Untitled Spreadsheet</dc:title>
  <dc:description/>
  <dc:subject/>
  <cp:keywords/>
  <cp:category/>
</cp:coreProperties>
</file>